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hidePivotFieldList="1" autoCompressPictures="0" defaultThemeVersion="124226"/>
  <mc:AlternateContent xmlns:mc="http://schemas.openxmlformats.org/markup-compatibility/2006">
    <mc:Choice Requires="x15">
      <x15ac:absPath xmlns:x15ac="http://schemas.microsoft.com/office/spreadsheetml/2010/11/ac" url="D:\Documents\Calculators\"/>
    </mc:Choice>
  </mc:AlternateContent>
  <xr:revisionPtr revIDLastSave="0" documentId="13_ncr:1_{8565376E-314D-4516-B7CF-2FF903306053}" xr6:coauthVersionLast="43" xr6:coauthVersionMax="43" xr10:uidLastSave="{00000000-0000-0000-0000-000000000000}"/>
  <bookViews>
    <workbookView xWindow="-103" yWindow="-103" windowWidth="33120" windowHeight="18720" tabRatio="776" xr2:uid="{00000000-000D-0000-FFFF-FFFF00000000}"/>
  </bookViews>
  <sheets>
    <sheet name="1" sheetId="19" r:id="rId1"/>
    <sheet name="2" sheetId="20" r:id="rId2"/>
    <sheet name="3" sheetId="21" r:id="rId3"/>
    <sheet name="4" sheetId="22" r:id="rId4"/>
    <sheet name="5" sheetId="23" r:id="rId5"/>
    <sheet name="6" sheetId="24" r:id="rId6"/>
    <sheet name="7" sheetId="25" r:id="rId7"/>
    <sheet name="8" sheetId="26" r:id="rId8"/>
    <sheet name="9" sheetId="27" r:id="rId9"/>
    <sheet name="10" sheetId="28" r:id="rId10"/>
    <sheet name="Collective Formula" sheetId="14" r:id="rId11"/>
    <sheet name="Collective Maps" sheetId="30" r:id="rId12"/>
    <sheet name="Date" sheetId="18" r:id="rId13"/>
    <sheet name="Chemical Analysis" sheetId="29" r:id="rId14"/>
  </sheets>
  <definedNames>
    <definedName name="Chem">'Chemical Analysis'!$B$4:$B$119</definedName>
    <definedName name="Cone04">1971</definedName>
    <definedName name="_xlnm.Print_Area" localSheetId="10">'Collective Formula'!$B$2:$Q$55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20" l="1"/>
  <c r="Z69" i="29"/>
  <c r="B2" i="19"/>
  <c r="D18" i="19"/>
  <c r="F18" i="19"/>
  <c r="D19" i="19"/>
  <c r="F19" i="19"/>
  <c r="D20" i="19"/>
  <c r="F20" i="19"/>
  <c r="D21" i="19"/>
  <c r="F21" i="19"/>
  <c r="D22" i="19"/>
  <c r="F22" i="19"/>
  <c r="D23" i="19"/>
  <c r="F23" i="19"/>
  <c r="C10" i="14" s="1"/>
  <c r="D24" i="19"/>
  <c r="F24" i="19"/>
  <c r="D25" i="19"/>
  <c r="F25" i="19"/>
  <c r="D26" i="19"/>
  <c r="F26" i="19"/>
  <c r="D27" i="19"/>
  <c r="F27" i="19"/>
  <c r="D28" i="19"/>
  <c r="F28" i="19"/>
  <c r="D29" i="19"/>
  <c r="F29" i="19"/>
  <c r="D30" i="19"/>
  <c r="F30" i="19"/>
  <c r="D31" i="19"/>
  <c r="F31" i="19"/>
  <c r="D32" i="19"/>
  <c r="F32" i="19"/>
  <c r="D33" i="19"/>
  <c r="F33" i="19"/>
  <c r="Y56" i="19"/>
  <c r="E23" i="19" s="1"/>
  <c r="B44" i="19"/>
  <c r="C44" i="19"/>
  <c r="D44" i="19"/>
  <c r="E44" i="19"/>
  <c r="F44" i="19"/>
  <c r="G44" i="19"/>
  <c r="H44" i="19"/>
  <c r="I44" i="19"/>
  <c r="J44" i="19"/>
  <c r="K44" i="19"/>
  <c r="L44" i="19"/>
  <c r="M44" i="19"/>
  <c r="N44" i="19"/>
  <c r="O44" i="19"/>
  <c r="P44" i="19"/>
  <c r="Q44" i="19"/>
  <c r="R44" i="19"/>
  <c r="S44" i="19"/>
  <c r="T44" i="19"/>
  <c r="U44" i="19"/>
  <c r="V44" i="19"/>
  <c r="W44" i="19"/>
  <c r="X44" i="19"/>
  <c r="B45" i="19"/>
  <c r="C45" i="19"/>
  <c r="D45" i="19"/>
  <c r="E45" i="19"/>
  <c r="F45" i="19"/>
  <c r="G45" i="19"/>
  <c r="H45" i="19"/>
  <c r="I45" i="19"/>
  <c r="J45" i="19"/>
  <c r="K45" i="19"/>
  <c r="L45" i="19"/>
  <c r="M45" i="19"/>
  <c r="N45" i="19"/>
  <c r="O45" i="19"/>
  <c r="P45" i="19"/>
  <c r="Q45" i="19"/>
  <c r="R45" i="19"/>
  <c r="S45" i="19"/>
  <c r="T45" i="19"/>
  <c r="U45" i="19"/>
  <c r="V45" i="19"/>
  <c r="W45" i="19"/>
  <c r="X45" i="19"/>
  <c r="B46" i="19"/>
  <c r="C46" i="19"/>
  <c r="D46" i="19"/>
  <c r="E46" i="19"/>
  <c r="F46" i="19"/>
  <c r="G46" i="19"/>
  <c r="H46" i="19"/>
  <c r="I46" i="19"/>
  <c r="J46" i="19"/>
  <c r="K46" i="19"/>
  <c r="L46" i="19"/>
  <c r="M46" i="19"/>
  <c r="N46" i="19"/>
  <c r="O46" i="19"/>
  <c r="P46" i="19"/>
  <c r="Q46" i="19"/>
  <c r="R46" i="19"/>
  <c r="S46" i="19"/>
  <c r="T46" i="19"/>
  <c r="U46" i="19"/>
  <c r="V46" i="19"/>
  <c r="W46" i="19"/>
  <c r="X46" i="19"/>
  <c r="B47" i="19"/>
  <c r="C47" i="19"/>
  <c r="D47" i="19"/>
  <c r="E47" i="19"/>
  <c r="F47" i="19"/>
  <c r="G47" i="19"/>
  <c r="H47" i="19"/>
  <c r="I47" i="19"/>
  <c r="J47" i="19"/>
  <c r="K47" i="19"/>
  <c r="L47" i="19"/>
  <c r="M47" i="19"/>
  <c r="N47" i="19"/>
  <c r="O47" i="19"/>
  <c r="P47" i="19"/>
  <c r="Q47" i="19"/>
  <c r="R47" i="19"/>
  <c r="S47" i="19"/>
  <c r="T47" i="19"/>
  <c r="U47" i="19"/>
  <c r="V47" i="19"/>
  <c r="W47" i="19"/>
  <c r="X47" i="19"/>
  <c r="B48" i="19"/>
  <c r="C48" i="19"/>
  <c r="D48" i="19"/>
  <c r="E48" i="19"/>
  <c r="F48" i="19"/>
  <c r="G48" i="19"/>
  <c r="H48" i="19"/>
  <c r="I48" i="19"/>
  <c r="J48" i="19"/>
  <c r="K48" i="19"/>
  <c r="L48" i="19"/>
  <c r="M48" i="19"/>
  <c r="N48" i="19"/>
  <c r="O48" i="19"/>
  <c r="P48" i="19"/>
  <c r="Q48" i="19"/>
  <c r="R48" i="19"/>
  <c r="S48" i="19"/>
  <c r="T48" i="19"/>
  <c r="U48" i="19"/>
  <c r="V48" i="19"/>
  <c r="W48" i="19"/>
  <c r="X48" i="19"/>
  <c r="B49" i="19"/>
  <c r="C49" i="19"/>
  <c r="D49" i="19"/>
  <c r="E49" i="19"/>
  <c r="F49" i="19"/>
  <c r="G49" i="19"/>
  <c r="H49" i="19"/>
  <c r="I49" i="19"/>
  <c r="J49" i="19"/>
  <c r="K49" i="19"/>
  <c r="L49" i="19"/>
  <c r="M49" i="19"/>
  <c r="N49" i="19"/>
  <c r="O49" i="19"/>
  <c r="P49" i="19"/>
  <c r="Q49" i="19"/>
  <c r="R49" i="19"/>
  <c r="S49" i="19"/>
  <c r="T49" i="19"/>
  <c r="U49" i="19"/>
  <c r="V49" i="19"/>
  <c r="W49" i="19"/>
  <c r="X49" i="19"/>
  <c r="B50" i="19"/>
  <c r="C50" i="19"/>
  <c r="D50" i="19"/>
  <c r="E50" i="19"/>
  <c r="F50" i="19"/>
  <c r="G50" i="19"/>
  <c r="H50" i="19"/>
  <c r="I50" i="19"/>
  <c r="J50" i="19"/>
  <c r="K50" i="19"/>
  <c r="L50" i="19"/>
  <c r="M50" i="19"/>
  <c r="N50" i="19"/>
  <c r="O50" i="19"/>
  <c r="P50" i="19"/>
  <c r="Q50" i="19"/>
  <c r="R50" i="19"/>
  <c r="S50" i="19"/>
  <c r="T50" i="19"/>
  <c r="U50" i="19"/>
  <c r="V50" i="19"/>
  <c r="W50" i="19"/>
  <c r="X50" i="19"/>
  <c r="B51" i="19"/>
  <c r="C51" i="19"/>
  <c r="D51" i="19"/>
  <c r="E51" i="19"/>
  <c r="F51" i="19"/>
  <c r="G51" i="19"/>
  <c r="H51" i="19"/>
  <c r="I51" i="19"/>
  <c r="J51" i="19"/>
  <c r="K51" i="19"/>
  <c r="L51" i="19"/>
  <c r="M51" i="19"/>
  <c r="N51" i="19"/>
  <c r="O51" i="19"/>
  <c r="P51" i="19"/>
  <c r="Q51" i="19"/>
  <c r="R51" i="19"/>
  <c r="S51" i="19"/>
  <c r="T51" i="19"/>
  <c r="U51" i="19"/>
  <c r="V51" i="19"/>
  <c r="W51" i="19"/>
  <c r="X51" i="19"/>
  <c r="B52" i="19"/>
  <c r="C52" i="19"/>
  <c r="D52" i="19"/>
  <c r="E52" i="19"/>
  <c r="F52" i="19"/>
  <c r="G52" i="19"/>
  <c r="H52" i="19"/>
  <c r="I52" i="19"/>
  <c r="J52" i="19"/>
  <c r="K52" i="19"/>
  <c r="L52" i="19"/>
  <c r="M52" i="19"/>
  <c r="N52" i="19"/>
  <c r="O52" i="19"/>
  <c r="P52" i="19"/>
  <c r="Q52" i="19"/>
  <c r="R52" i="19"/>
  <c r="S52" i="19"/>
  <c r="T52" i="19"/>
  <c r="U52" i="19"/>
  <c r="V52" i="19"/>
  <c r="W52" i="19"/>
  <c r="X52" i="19"/>
  <c r="B53" i="19"/>
  <c r="C53" i="19"/>
  <c r="D53" i="19"/>
  <c r="E53" i="19"/>
  <c r="F53" i="19"/>
  <c r="G53" i="19"/>
  <c r="H53" i="19"/>
  <c r="I53" i="19"/>
  <c r="J53" i="19"/>
  <c r="K53" i="19"/>
  <c r="L53" i="19"/>
  <c r="M53" i="19"/>
  <c r="N53" i="19"/>
  <c r="O53" i="19"/>
  <c r="P53" i="19"/>
  <c r="Q53" i="19"/>
  <c r="R53" i="19"/>
  <c r="S53" i="19"/>
  <c r="T53" i="19"/>
  <c r="U53" i="19"/>
  <c r="V53" i="19"/>
  <c r="W53" i="19"/>
  <c r="X53" i="19"/>
  <c r="Y59" i="19"/>
  <c r="E30" i="19"/>
  <c r="G30" i="19" s="1"/>
  <c r="D17" i="14" s="1"/>
  <c r="E26" i="19"/>
  <c r="G26" i="19" s="1"/>
  <c r="D13" i="14" s="1"/>
  <c r="E22" i="19"/>
  <c r="N42" i="19" s="1"/>
  <c r="E33" i="19"/>
  <c r="G33" i="19" s="1"/>
  <c r="D20" i="14" s="1"/>
  <c r="E25" i="19"/>
  <c r="G25" i="19" s="1"/>
  <c r="D12" i="14" s="1"/>
  <c r="E28" i="19"/>
  <c r="G28" i="19" s="1"/>
  <c r="D15" i="14" s="1"/>
  <c r="E24" i="19"/>
  <c r="G24" i="19"/>
  <c r="E20" i="19"/>
  <c r="J40" i="19" s="1"/>
  <c r="E31" i="19"/>
  <c r="G31" i="19" s="1"/>
  <c r="D18" i="14" s="1"/>
  <c r="S10" i="30"/>
  <c r="Z10" i="30"/>
  <c r="S11" i="30"/>
  <c r="Z11" i="30"/>
  <c r="S12" i="30"/>
  <c r="Z12" i="30"/>
  <c r="S13" i="30"/>
  <c r="Z13" i="30"/>
  <c r="S14" i="30"/>
  <c r="Z14" i="30"/>
  <c r="I40" i="19"/>
  <c r="K42" i="19"/>
  <c r="J42" i="19"/>
  <c r="O42" i="19"/>
  <c r="H42" i="19"/>
  <c r="P42" i="19"/>
  <c r="Q42" i="19"/>
  <c r="B42" i="19"/>
  <c r="C42" i="19"/>
  <c r="D42" i="19"/>
  <c r="E42" i="19"/>
  <c r="U42" i="19"/>
  <c r="F42" i="19"/>
  <c r="X42" i="19"/>
  <c r="G22" i="19"/>
  <c r="I42" i="19"/>
  <c r="Z75" i="29"/>
  <c r="X43" i="21"/>
  <c r="X44" i="21"/>
  <c r="X45" i="21"/>
  <c r="X46" i="21"/>
  <c r="X47" i="21"/>
  <c r="X48" i="21"/>
  <c r="X49" i="21"/>
  <c r="X50" i="21"/>
  <c r="X51" i="21"/>
  <c r="X52" i="21"/>
  <c r="X53" i="21"/>
  <c r="X43" i="22"/>
  <c r="X44" i="22"/>
  <c r="X45" i="22"/>
  <c r="X46" i="22"/>
  <c r="X47" i="22"/>
  <c r="X48" i="22"/>
  <c r="X49" i="22"/>
  <c r="X50" i="22"/>
  <c r="X51" i="22"/>
  <c r="X52" i="22"/>
  <c r="X53" i="22"/>
  <c r="X43" i="23"/>
  <c r="X44" i="23"/>
  <c r="X45" i="23"/>
  <c r="X46" i="23"/>
  <c r="X47" i="23"/>
  <c r="X48" i="23"/>
  <c r="X49" i="23"/>
  <c r="X50" i="23"/>
  <c r="X51" i="23"/>
  <c r="X52" i="23"/>
  <c r="X53" i="23"/>
  <c r="X43" i="24"/>
  <c r="X44" i="24"/>
  <c r="X45" i="24"/>
  <c r="X46" i="24"/>
  <c r="X47" i="24"/>
  <c r="X48" i="24"/>
  <c r="X49" i="24"/>
  <c r="X50" i="24"/>
  <c r="X51" i="24"/>
  <c r="X52" i="24"/>
  <c r="X53" i="24"/>
  <c r="X43" i="25"/>
  <c r="X44" i="25"/>
  <c r="X45" i="25"/>
  <c r="X46" i="25"/>
  <c r="X47" i="25"/>
  <c r="X48" i="25"/>
  <c r="X49" i="25"/>
  <c r="X50" i="25"/>
  <c r="X51" i="25"/>
  <c r="X52" i="25"/>
  <c r="X53" i="25"/>
  <c r="X43" i="26"/>
  <c r="X44" i="26"/>
  <c r="X45" i="26"/>
  <c r="X46" i="26"/>
  <c r="X47" i="26"/>
  <c r="X48" i="26"/>
  <c r="X49" i="26"/>
  <c r="X50" i="26"/>
  <c r="X51" i="26"/>
  <c r="X52" i="26"/>
  <c r="X53" i="26"/>
  <c r="X43" i="27"/>
  <c r="X44" i="27"/>
  <c r="X45" i="27"/>
  <c r="X46" i="27"/>
  <c r="X47" i="27"/>
  <c r="X48" i="27"/>
  <c r="X49" i="27"/>
  <c r="X50" i="27"/>
  <c r="X51" i="27"/>
  <c r="X52" i="27"/>
  <c r="X53" i="27"/>
  <c r="X43" i="28"/>
  <c r="X44" i="28"/>
  <c r="X45" i="28"/>
  <c r="X46" i="28"/>
  <c r="X47" i="28"/>
  <c r="X48" i="28"/>
  <c r="X49" i="28"/>
  <c r="X50" i="28"/>
  <c r="X51" i="28"/>
  <c r="X52" i="28"/>
  <c r="X53" i="28"/>
  <c r="Z32" i="29"/>
  <c r="Z76" i="29"/>
  <c r="Z117" i="29"/>
  <c r="Z74" i="29"/>
  <c r="Y59" i="28"/>
  <c r="AA14" i="30"/>
  <c r="Y59" i="27"/>
  <c r="AA13" i="30"/>
  <c r="Y59" i="26"/>
  <c r="Y59" i="25"/>
  <c r="AA11" i="30"/>
  <c r="Y59" i="24"/>
  <c r="AA10" i="30"/>
  <c r="Y59" i="23"/>
  <c r="AA9" i="30"/>
  <c r="Y59" i="22"/>
  <c r="AA8" i="30"/>
  <c r="Y59" i="21"/>
  <c r="AA7" i="30"/>
  <c r="Y59" i="20"/>
  <c r="AA6" i="30" s="1"/>
  <c r="AA5" i="30"/>
  <c r="AA12" i="30"/>
  <c r="Z9" i="30"/>
  <c r="Z8" i="30"/>
  <c r="Z7" i="30"/>
  <c r="Z6" i="30"/>
  <c r="Z5" i="30"/>
  <c r="Y56" i="28"/>
  <c r="E18" i="28"/>
  <c r="L44" i="28"/>
  <c r="L45" i="28"/>
  <c r="L46" i="28"/>
  <c r="L47" i="28"/>
  <c r="L48" i="28"/>
  <c r="L49" i="28"/>
  <c r="L50" i="28"/>
  <c r="L51" i="28"/>
  <c r="L52" i="28"/>
  <c r="L53" i="28"/>
  <c r="B44" i="28"/>
  <c r="B45" i="28"/>
  <c r="B46" i="28"/>
  <c r="B47" i="28"/>
  <c r="B48" i="28"/>
  <c r="B49" i="28"/>
  <c r="B50" i="28"/>
  <c r="B51" i="28"/>
  <c r="B52" i="28"/>
  <c r="B53" i="28"/>
  <c r="C44" i="28"/>
  <c r="C45" i="28"/>
  <c r="C46" i="28"/>
  <c r="C47" i="28"/>
  <c r="C48" i="28"/>
  <c r="C49" i="28"/>
  <c r="C50" i="28"/>
  <c r="C51" i="28"/>
  <c r="C52" i="28"/>
  <c r="C53" i="28"/>
  <c r="D44" i="28"/>
  <c r="D45" i="28"/>
  <c r="D46" i="28"/>
  <c r="D47" i="28"/>
  <c r="D48" i="28"/>
  <c r="D49" i="28"/>
  <c r="D50" i="28"/>
  <c r="D51" i="28"/>
  <c r="D52" i="28"/>
  <c r="D53" i="28"/>
  <c r="E44" i="28"/>
  <c r="E45" i="28"/>
  <c r="E46" i="28"/>
  <c r="E47" i="28"/>
  <c r="E48" i="28"/>
  <c r="E49" i="28"/>
  <c r="E50" i="28"/>
  <c r="E51" i="28"/>
  <c r="E52" i="28"/>
  <c r="E53" i="28"/>
  <c r="F44" i="28"/>
  <c r="F45" i="28"/>
  <c r="F46" i="28"/>
  <c r="F47" i="28"/>
  <c r="F48" i="28"/>
  <c r="F49" i="28"/>
  <c r="F50" i="28"/>
  <c r="F51" i="28"/>
  <c r="F52" i="28"/>
  <c r="F53" i="28"/>
  <c r="G44" i="28"/>
  <c r="G45" i="28"/>
  <c r="G46" i="28"/>
  <c r="G47" i="28"/>
  <c r="G48" i="28"/>
  <c r="G49" i="28"/>
  <c r="G50" i="28"/>
  <c r="G51" i="28"/>
  <c r="G52" i="28"/>
  <c r="G53" i="28"/>
  <c r="H44" i="28"/>
  <c r="H45" i="28"/>
  <c r="H46" i="28"/>
  <c r="H47" i="28"/>
  <c r="H48" i="28"/>
  <c r="H49" i="28"/>
  <c r="H50" i="28"/>
  <c r="H51" i="28"/>
  <c r="H52" i="28"/>
  <c r="H53" i="28"/>
  <c r="I44" i="28"/>
  <c r="I45" i="28"/>
  <c r="I46" i="28"/>
  <c r="I47" i="28"/>
  <c r="I48" i="28"/>
  <c r="I49" i="28"/>
  <c r="I50" i="28"/>
  <c r="I51" i="28"/>
  <c r="I52" i="28"/>
  <c r="I53" i="28"/>
  <c r="J44" i="28"/>
  <c r="J45" i="28"/>
  <c r="J46" i="28"/>
  <c r="J47" i="28"/>
  <c r="J48" i="28"/>
  <c r="J49" i="28"/>
  <c r="J50" i="28"/>
  <c r="J51" i="28"/>
  <c r="J52" i="28"/>
  <c r="J53" i="28"/>
  <c r="K44" i="28"/>
  <c r="K45" i="28"/>
  <c r="K46" i="28"/>
  <c r="K47" i="28"/>
  <c r="K48" i="28"/>
  <c r="K49" i="28"/>
  <c r="K50" i="28"/>
  <c r="K51" i="28"/>
  <c r="K52" i="28"/>
  <c r="K53" i="28"/>
  <c r="M44" i="28"/>
  <c r="M45" i="28"/>
  <c r="M46" i="28"/>
  <c r="M47" i="28"/>
  <c r="M48" i="28"/>
  <c r="M49" i="28"/>
  <c r="M50" i="28"/>
  <c r="M51" i="28"/>
  <c r="M52" i="28"/>
  <c r="M53" i="28"/>
  <c r="N44" i="28"/>
  <c r="N45" i="28"/>
  <c r="N46" i="28"/>
  <c r="N47" i="28"/>
  <c r="N48" i="28"/>
  <c r="N49" i="28"/>
  <c r="N50" i="28"/>
  <c r="N51" i="28"/>
  <c r="N52" i="28"/>
  <c r="N53" i="28"/>
  <c r="O44" i="28"/>
  <c r="O45" i="28"/>
  <c r="O46" i="28"/>
  <c r="O47" i="28"/>
  <c r="O48" i="28"/>
  <c r="O49" i="28"/>
  <c r="O50" i="28"/>
  <c r="O51" i="28"/>
  <c r="O52" i="28"/>
  <c r="O53" i="28"/>
  <c r="P44" i="28"/>
  <c r="P45" i="28"/>
  <c r="P46" i="28"/>
  <c r="P47" i="28"/>
  <c r="P48" i="28"/>
  <c r="P49" i="28"/>
  <c r="P50" i="28"/>
  <c r="P51" i="28"/>
  <c r="P52" i="28"/>
  <c r="P53" i="28"/>
  <c r="Q44" i="28"/>
  <c r="Q45" i="28"/>
  <c r="Q46" i="28"/>
  <c r="Q47" i="28"/>
  <c r="Q48" i="28"/>
  <c r="Q49" i="28"/>
  <c r="Q50" i="28"/>
  <c r="Q51" i="28"/>
  <c r="Q52" i="28"/>
  <c r="Q53" i="28"/>
  <c r="R44" i="28"/>
  <c r="R45" i="28"/>
  <c r="R46" i="28"/>
  <c r="R47" i="28"/>
  <c r="R48" i="28"/>
  <c r="R49" i="28"/>
  <c r="R50" i="28"/>
  <c r="R51" i="28"/>
  <c r="R52" i="28"/>
  <c r="R53" i="28"/>
  <c r="S44" i="28"/>
  <c r="S45" i="28"/>
  <c r="S46" i="28"/>
  <c r="S47" i="28"/>
  <c r="S48" i="28"/>
  <c r="S49" i="28"/>
  <c r="S50" i="28"/>
  <c r="S51" i="28"/>
  <c r="S52" i="28"/>
  <c r="S53" i="28"/>
  <c r="T44" i="28"/>
  <c r="T45" i="28"/>
  <c r="T46" i="28"/>
  <c r="T47" i="28"/>
  <c r="T48" i="28"/>
  <c r="T49" i="28"/>
  <c r="T50" i="28"/>
  <c r="T51" i="28"/>
  <c r="T52" i="28"/>
  <c r="T53" i="28"/>
  <c r="U44" i="28"/>
  <c r="U45" i="28"/>
  <c r="U46" i="28"/>
  <c r="U47" i="28"/>
  <c r="U48" i="28"/>
  <c r="U49" i="28"/>
  <c r="U50" i="28"/>
  <c r="U51" i="28"/>
  <c r="U52" i="28"/>
  <c r="U53" i="28"/>
  <c r="V44" i="28"/>
  <c r="V45" i="28"/>
  <c r="V46" i="28"/>
  <c r="V47" i="28"/>
  <c r="V48" i="28"/>
  <c r="V49" i="28"/>
  <c r="V50" i="28"/>
  <c r="V51" i="28"/>
  <c r="V52" i="28"/>
  <c r="V53" i="28"/>
  <c r="W44" i="28"/>
  <c r="W45" i="28"/>
  <c r="W46" i="28"/>
  <c r="W47" i="28"/>
  <c r="W48" i="28"/>
  <c r="W49" i="28"/>
  <c r="W50" i="28"/>
  <c r="W51" i="28"/>
  <c r="W52" i="28"/>
  <c r="W53" i="28"/>
  <c r="Y56" i="27"/>
  <c r="E33" i="27"/>
  <c r="G33" i="27"/>
  <c r="L44" i="27"/>
  <c r="L45" i="27"/>
  <c r="L46" i="27"/>
  <c r="L47" i="27"/>
  <c r="L48" i="27"/>
  <c r="L49" i="27"/>
  <c r="L50" i="27"/>
  <c r="L51" i="27"/>
  <c r="L52" i="27"/>
  <c r="L53" i="27"/>
  <c r="B44" i="27"/>
  <c r="B45" i="27"/>
  <c r="B46" i="27"/>
  <c r="B47" i="27"/>
  <c r="B48" i="27"/>
  <c r="B49" i="27"/>
  <c r="B50" i="27"/>
  <c r="B51" i="27"/>
  <c r="B52" i="27"/>
  <c r="B53" i="27"/>
  <c r="C44" i="27"/>
  <c r="C45" i="27"/>
  <c r="C46" i="27"/>
  <c r="C47" i="27"/>
  <c r="C48" i="27"/>
  <c r="C49" i="27"/>
  <c r="C50" i="27"/>
  <c r="C51" i="27"/>
  <c r="C52" i="27"/>
  <c r="C53" i="27"/>
  <c r="D44" i="27"/>
  <c r="D45" i="27"/>
  <c r="D46" i="27"/>
  <c r="D47" i="27"/>
  <c r="D48" i="27"/>
  <c r="D49" i="27"/>
  <c r="D50" i="27"/>
  <c r="D51" i="27"/>
  <c r="D52" i="27"/>
  <c r="D53" i="27"/>
  <c r="E44" i="27"/>
  <c r="E45" i="27"/>
  <c r="E46" i="27"/>
  <c r="E47" i="27"/>
  <c r="E48" i="27"/>
  <c r="E49" i="27"/>
  <c r="E50" i="27"/>
  <c r="E51" i="27"/>
  <c r="E52" i="27"/>
  <c r="E53" i="27"/>
  <c r="F44" i="27"/>
  <c r="F45" i="27"/>
  <c r="F46" i="27"/>
  <c r="F47" i="27"/>
  <c r="F48" i="27"/>
  <c r="F49" i="27"/>
  <c r="F50" i="27"/>
  <c r="F51" i="27"/>
  <c r="F52" i="27"/>
  <c r="F53" i="27"/>
  <c r="G44" i="27"/>
  <c r="G45" i="27"/>
  <c r="G46" i="27"/>
  <c r="G47" i="27"/>
  <c r="G48" i="27"/>
  <c r="G49" i="27"/>
  <c r="G50" i="27"/>
  <c r="G51" i="27"/>
  <c r="G52" i="27"/>
  <c r="G53" i="27"/>
  <c r="H44" i="27"/>
  <c r="H45" i="27"/>
  <c r="H46" i="27"/>
  <c r="H47" i="27"/>
  <c r="H48" i="27"/>
  <c r="H49" i="27"/>
  <c r="H50" i="27"/>
  <c r="H51" i="27"/>
  <c r="H52" i="27"/>
  <c r="H53" i="27"/>
  <c r="I44" i="27"/>
  <c r="I45" i="27"/>
  <c r="I46" i="27"/>
  <c r="I47" i="27"/>
  <c r="I48" i="27"/>
  <c r="I49" i="27"/>
  <c r="I50" i="27"/>
  <c r="I51" i="27"/>
  <c r="I52" i="27"/>
  <c r="I53" i="27"/>
  <c r="J44" i="27"/>
  <c r="J45" i="27"/>
  <c r="J46" i="27"/>
  <c r="J47" i="27"/>
  <c r="J48" i="27"/>
  <c r="J49" i="27"/>
  <c r="J50" i="27"/>
  <c r="J51" i="27"/>
  <c r="J52" i="27"/>
  <c r="J53" i="27"/>
  <c r="K44" i="27"/>
  <c r="K45" i="27"/>
  <c r="K46" i="27"/>
  <c r="K47" i="27"/>
  <c r="K48" i="27"/>
  <c r="K49" i="27"/>
  <c r="K50" i="27"/>
  <c r="K51" i="27"/>
  <c r="K52" i="27"/>
  <c r="K53" i="27"/>
  <c r="M44" i="27"/>
  <c r="M45" i="27"/>
  <c r="M46" i="27"/>
  <c r="M47" i="27"/>
  <c r="M48" i="27"/>
  <c r="M49" i="27"/>
  <c r="M50" i="27"/>
  <c r="M51" i="27"/>
  <c r="M52" i="27"/>
  <c r="M53" i="27"/>
  <c r="N44" i="27"/>
  <c r="N45" i="27"/>
  <c r="N46" i="27"/>
  <c r="N47" i="27"/>
  <c r="N48" i="27"/>
  <c r="N49" i="27"/>
  <c r="N50" i="27"/>
  <c r="N51" i="27"/>
  <c r="N52" i="27"/>
  <c r="N53" i="27"/>
  <c r="O44" i="27"/>
  <c r="O45" i="27"/>
  <c r="O46" i="27"/>
  <c r="O47" i="27"/>
  <c r="O48" i="27"/>
  <c r="O49" i="27"/>
  <c r="O50" i="27"/>
  <c r="O51" i="27"/>
  <c r="O52" i="27"/>
  <c r="O53" i="27"/>
  <c r="P44" i="27"/>
  <c r="P45" i="27"/>
  <c r="P46" i="27"/>
  <c r="P47" i="27"/>
  <c r="P48" i="27"/>
  <c r="P49" i="27"/>
  <c r="P50" i="27"/>
  <c r="P51" i="27"/>
  <c r="P52" i="27"/>
  <c r="P53" i="27"/>
  <c r="Q44" i="27"/>
  <c r="Q45" i="27"/>
  <c r="Q46" i="27"/>
  <c r="Q47" i="27"/>
  <c r="Q48" i="27"/>
  <c r="Q49" i="27"/>
  <c r="Q50" i="27"/>
  <c r="Q51" i="27"/>
  <c r="Q52" i="27"/>
  <c r="Q53" i="27"/>
  <c r="R44" i="27"/>
  <c r="R45" i="27"/>
  <c r="R46" i="27"/>
  <c r="R47" i="27"/>
  <c r="R48" i="27"/>
  <c r="R49" i="27"/>
  <c r="R50" i="27"/>
  <c r="R51" i="27"/>
  <c r="R52" i="27"/>
  <c r="R53" i="27"/>
  <c r="S44" i="27"/>
  <c r="S45" i="27"/>
  <c r="S46" i="27"/>
  <c r="S47" i="27"/>
  <c r="S48" i="27"/>
  <c r="S49" i="27"/>
  <c r="S50" i="27"/>
  <c r="S51" i="27"/>
  <c r="S52" i="27"/>
  <c r="S53" i="27"/>
  <c r="T44" i="27"/>
  <c r="T45" i="27"/>
  <c r="T46" i="27"/>
  <c r="T47" i="27"/>
  <c r="T48" i="27"/>
  <c r="T49" i="27"/>
  <c r="T50" i="27"/>
  <c r="T51" i="27"/>
  <c r="T52" i="27"/>
  <c r="T53" i="27"/>
  <c r="U44" i="27"/>
  <c r="U45" i="27"/>
  <c r="U46" i="27"/>
  <c r="U47" i="27"/>
  <c r="U48" i="27"/>
  <c r="U49" i="27"/>
  <c r="U50" i="27"/>
  <c r="U51" i="27"/>
  <c r="U52" i="27"/>
  <c r="U53" i="27"/>
  <c r="V44" i="27"/>
  <c r="V45" i="27"/>
  <c r="V46" i="27"/>
  <c r="V47" i="27"/>
  <c r="V48" i="27"/>
  <c r="V49" i="27"/>
  <c r="V50" i="27"/>
  <c r="V51" i="27"/>
  <c r="V52" i="27"/>
  <c r="V53" i="27"/>
  <c r="W44" i="27"/>
  <c r="W45" i="27"/>
  <c r="W46" i="27"/>
  <c r="W47" i="27"/>
  <c r="W48" i="27"/>
  <c r="W49" i="27"/>
  <c r="W50" i="27"/>
  <c r="W51" i="27"/>
  <c r="W52" i="27"/>
  <c r="W53" i="27"/>
  <c r="Y56" i="26"/>
  <c r="E19" i="26"/>
  <c r="L44" i="26"/>
  <c r="L45" i="26"/>
  <c r="L46" i="26"/>
  <c r="L47" i="26"/>
  <c r="L48" i="26"/>
  <c r="L49" i="26"/>
  <c r="L50" i="26"/>
  <c r="L51" i="26"/>
  <c r="L52" i="26"/>
  <c r="L53" i="26"/>
  <c r="B44" i="26"/>
  <c r="B45" i="26"/>
  <c r="B46" i="26"/>
  <c r="B47" i="26"/>
  <c r="B48" i="26"/>
  <c r="B49" i="26"/>
  <c r="B50" i="26"/>
  <c r="B51" i="26"/>
  <c r="B52" i="26"/>
  <c r="B53" i="26"/>
  <c r="C44" i="26"/>
  <c r="C45" i="26"/>
  <c r="C46" i="26"/>
  <c r="C47" i="26"/>
  <c r="C48" i="26"/>
  <c r="C49" i="26"/>
  <c r="C50" i="26"/>
  <c r="C51" i="26"/>
  <c r="C52" i="26"/>
  <c r="C53" i="26"/>
  <c r="D44" i="26"/>
  <c r="D45" i="26"/>
  <c r="D46" i="26"/>
  <c r="D47" i="26"/>
  <c r="D48" i="26"/>
  <c r="D49" i="26"/>
  <c r="D50" i="26"/>
  <c r="D51" i="26"/>
  <c r="D52" i="26"/>
  <c r="D53" i="26"/>
  <c r="E44" i="26"/>
  <c r="E45" i="26"/>
  <c r="E46" i="26"/>
  <c r="E47" i="26"/>
  <c r="E48" i="26"/>
  <c r="E49" i="26"/>
  <c r="E50" i="26"/>
  <c r="E51" i="26"/>
  <c r="E52" i="26"/>
  <c r="E53" i="26"/>
  <c r="F44" i="26"/>
  <c r="F45" i="26"/>
  <c r="F46" i="26"/>
  <c r="F47" i="26"/>
  <c r="F48" i="26"/>
  <c r="F49" i="26"/>
  <c r="F50" i="26"/>
  <c r="F51" i="26"/>
  <c r="F52" i="26"/>
  <c r="F53" i="26"/>
  <c r="G44" i="26"/>
  <c r="G45" i="26"/>
  <c r="G46" i="26"/>
  <c r="G47" i="26"/>
  <c r="G48" i="26"/>
  <c r="G49" i="26"/>
  <c r="G50" i="26"/>
  <c r="G51" i="26"/>
  <c r="G52" i="26"/>
  <c r="G53" i="26"/>
  <c r="H44" i="26"/>
  <c r="H45" i="26"/>
  <c r="H46" i="26"/>
  <c r="H47" i="26"/>
  <c r="H48" i="26"/>
  <c r="H49" i="26"/>
  <c r="H50" i="26"/>
  <c r="H51" i="26"/>
  <c r="H52" i="26"/>
  <c r="H53" i="26"/>
  <c r="I44" i="26"/>
  <c r="I45" i="26"/>
  <c r="I46" i="26"/>
  <c r="I47" i="26"/>
  <c r="I48" i="26"/>
  <c r="I49" i="26"/>
  <c r="I50" i="26"/>
  <c r="I51" i="26"/>
  <c r="I52" i="26"/>
  <c r="I53" i="26"/>
  <c r="J44" i="26"/>
  <c r="J45" i="26"/>
  <c r="J46" i="26"/>
  <c r="J47" i="26"/>
  <c r="J48" i="26"/>
  <c r="J49" i="26"/>
  <c r="J50" i="26"/>
  <c r="J51" i="26"/>
  <c r="J52" i="26"/>
  <c r="J53" i="26"/>
  <c r="K44" i="26"/>
  <c r="K45" i="26"/>
  <c r="K46" i="26"/>
  <c r="K47" i="26"/>
  <c r="K48" i="26"/>
  <c r="K49" i="26"/>
  <c r="K50" i="26"/>
  <c r="K51" i="26"/>
  <c r="K52" i="26"/>
  <c r="K53" i="26"/>
  <c r="M44" i="26"/>
  <c r="M45" i="26"/>
  <c r="M46" i="26"/>
  <c r="M47" i="26"/>
  <c r="M48" i="26"/>
  <c r="M49" i="26"/>
  <c r="M50" i="26"/>
  <c r="M51" i="26"/>
  <c r="M52" i="26"/>
  <c r="M53" i="26"/>
  <c r="N44" i="26"/>
  <c r="N45" i="26"/>
  <c r="N46" i="26"/>
  <c r="N47" i="26"/>
  <c r="N48" i="26"/>
  <c r="N49" i="26"/>
  <c r="N50" i="26"/>
  <c r="N51" i="26"/>
  <c r="N52" i="26"/>
  <c r="N53" i="26"/>
  <c r="O44" i="26"/>
  <c r="O45" i="26"/>
  <c r="O46" i="26"/>
  <c r="O47" i="26"/>
  <c r="O48" i="26"/>
  <c r="O49" i="26"/>
  <c r="O50" i="26"/>
  <c r="O51" i="26"/>
  <c r="O52" i="26"/>
  <c r="O53" i="26"/>
  <c r="P44" i="26"/>
  <c r="P45" i="26"/>
  <c r="P46" i="26"/>
  <c r="P47" i="26"/>
  <c r="P48" i="26"/>
  <c r="P49" i="26"/>
  <c r="P50" i="26"/>
  <c r="P51" i="26"/>
  <c r="P52" i="26"/>
  <c r="P53" i="26"/>
  <c r="Q44" i="26"/>
  <c r="Q45" i="26"/>
  <c r="Q46" i="26"/>
  <c r="Q47" i="26"/>
  <c r="Q48" i="26"/>
  <c r="Q49" i="26"/>
  <c r="Q50" i="26"/>
  <c r="Q51" i="26"/>
  <c r="Q52" i="26"/>
  <c r="Q53" i="26"/>
  <c r="R44" i="26"/>
  <c r="R45" i="26"/>
  <c r="R46" i="26"/>
  <c r="R47" i="26"/>
  <c r="R48" i="26"/>
  <c r="R49" i="26"/>
  <c r="R50" i="26"/>
  <c r="R51" i="26"/>
  <c r="R52" i="26"/>
  <c r="R53" i="26"/>
  <c r="S44" i="26"/>
  <c r="S45" i="26"/>
  <c r="S46" i="26"/>
  <c r="S47" i="26"/>
  <c r="S48" i="26"/>
  <c r="S49" i="26"/>
  <c r="S50" i="26"/>
  <c r="S51" i="26"/>
  <c r="S52" i="26"/>
  <c r="S53" i="26"/>
  <c r="T44" i="26"/>
  <c r="T45" i="26"/>
  <c r="T46" i="26"/>
  <c r="T47" i="26"/>
  <c r="T48" i="26"/>
  <c r="T49" i="26"/>
  <c r="T50" i="26"/>
  <c r="T51" i="26"/>
  <c r="T52" i="26"/>
  <c r="T53" i="26"/>
  <c r="U44" i="26"/>
  <c r="U45" i="26"/>
  <c r="U46" i="26"/>
  <c r="U47" i="26"/>
  <c r="U48" i="26"/>
  <c r="U49" i="26"/>
  <c r="U50" i="26"/>
  <c r="U51" i="26"/>
  <c r="U52" i="26"/>
  <c r="U53" i="26"/>
  <c r="V44" i="26"/>
  <c r="V45" i="26"/>
  <c r="V46" i="26"/>
  <c r="V47" i="26"/>
  <c r="V48" i="26"/>
  <c r="V49" i="26"/>
  <c r="V50" i="26"/>
  <c r="V51" i="26"/>
  <c r="V52" i="26"/>
  <c r="V53" i="26"/>
  <c r="W44" i="26"/>
  <c r="W45" i="26"/>
  <c r="W46" i="26"/>
  <c r="W47" i="26"/>
  <c r="W48" i="26"/>
  <c r="W49" i="26"/>
  <c r="W50" i="26"/>
  <c r="W51" i="26"/>
  <c r="W52" i="26"/>
  <c r="W53" i="26"/>
  <c r="Y56" i="25"/>
  <c r="E18" i="25"/>
  <c r="L44" i="25"/>
  <c r="L45" i="25"/>
  <c r="L46" i="25"/>
  <c r="L47" i="25"/>
  <c r="L48" i="25"/>
  <c r="L49" i="25"/>
  <c r="L50" i="25"/>
  <c r="L51" i="25"/>
  <c r="L52" i="25"/>
  <c r="L53" i="25"/>
  <c r="B43" i="25"/>
  <c r="B44" i="25"/>
  <c r="B45" i="25"/>
  <c r="B46" i="25"/>
  <c r="B47" i="25"/>
  <c r="B48" i="25"/>
  <c r="B49" i="25"/>
  <c r="B50" i="25"/>
  <c r="B51" i="25"/>
  <c r="B52" i="25"/>
  <c r="B53" i="25"/>
  <c r="C43" i="25"/>
  <c r="C44" i="25"/>
  <c r="C45" i="25"/>
  <c r="C46" i="25"/>
  <c r="C47" i="25"/>
  <c r="C48" i="25"/>
  <c r="C49" i="25"/>
  <c r="C50" i="25"/>
  <c r="C51" i="25"/>
  <c r="C52" i="25"/>
  <c r="C53" i="25"/>
  <c r="D43" i="25"/>
  <c r="D44" i="25"/>
  <c r="D45" i="25"/>
  <c r="D46" i="25"/>
  <c r="D47" i="25"/>
  <c r="D48" i="25"/>
  <c r="D49" i="25"/>
  <c r="D50" i="25"/>
  <c r="D51" i="25"/>
  <c r="D52" i="25"/>
  <c r="D53" i="25"/>
  <c r="E43" i="25"/>
  <c r="E44" i="25"/>
  <c r="E45" i="25"/>
  <c r="E46" i="25"/>
  <c r="E47" i="25"/>
  <c r="E48" i="25"/>
  <c r="E49" i="25"/>
  <c r="E50" i="25"/>
  <c r="E51" i="25"/>
  <c r="E52" i="25"/>
  <c r="E53" i="25"/>
  <c r="F43" i="25"/>
  <c r="F44" i="25"/>
  <c r="F45" i="25"/>
  <c r="F46" i="25"/>
  <c r="F47" i="25"/>
  <c r="F48" i="25"/>
  <c r="F49" i="25"/>
  <c r="F50" i="25"/>
  <c r="F51" i="25"/>
  <c r="F52" i="25"/>
  <c r="F53" i="25"/>
  <c r="G43" i="25"/>
  <c r="G44" i="25"/>
  <c r="G45" i="25"/>
  <c r="G46" i="25"/>
  <c r="G47" i="25"/>
  <c r="G48" i="25"/>
  <c r="G49" i="25"/>
  <c r="G50" i="25"/>
  <c r="G51" i="25"/>
  <c r="G52" i="25"/>
  <c r="G53" i="25"/>
  <c r="H43" i="25"/>
  <c r="H44" i="25"/>
  <c r="H45" i="25"/>
  <c r="H46" i="25"/>
  <c r="H47" i="25"/>
  <c r="H48" i="25"/>
  <c r="H49" i="25"/>
  <c r="H50" i="25"/>
  <c r="H51" i="25"/>
  <c r="H52" i="25"/>
  <c r="H53" i="25"/>
  <c r="I43" i="25"/>
  <c r="I44" i="25"/>
  <c r="I45" i="25"/>
  <c r="I46" i="25"/>
  <c r="I47" i="25"/>
  <c r="I48" i="25"/>
  <c r="I49" i="25"/>
  <c r="I50" i="25"/>
  <c r="I51" i="25"/>
  <c r="I52" i="25"/>
  <c r="I53" i="25"/>
  <c r="J43" i="25"/>
  <c r="J44" i="25"/>
  <c r="J45" i="25"/>
  <c r="J46" i="25"/>
  <c r="J47" i="25"/>
  <c r="J48" i="25"/>
  <c r="J49" i="25"/>
  <c r="J50" i="25"/>
  <c r="J51" i="25"/>
  <c r="J52" i="25"/>
  <c r="J53" i="25"/>
  <c r="K43" i="25"/>
  <c r="K44" i="25"/>
  <c r="K45" i="25"/>
  <c r="K46" i="25"/>
  <c r="K47" i="25"/>
  <c r="K48" i="25"/>
  <c r="K49" i="25"/>
  <c r="K50" i="25"/>
  <c r="K51" i="25"/>
  <c r="K52" i="25"/>
  <c r="K53" i="25"/>
  <c r="M43" i="25"/>
  <c r="M44" i="25"/>
  <c r="M45" i="25"/>
  <c r="M46" i="25"/>
  <c r="M47" i="25"/>
  <c r="M48" i="25"/>
  <c r="M49" i="25"/>
  <c r="M50" i="25"/>
  <c r="M51" i="25"/>
  <c r="M52" i="25"/>
  <c r="M53" i="25"/>
  <c r="N43" i="25"/>
  <c r="N44" i="25"/>
  <c r="N45" i="25"/>
  <c r="N46" i="25"/>
  <c r="N47" i="25"/>
  <c r="N48" i="25"/>
  <c r="N49" i="25"/>
  <c r="N50" i="25"/>
  <c r="N51" i="25"/>
  <c r="N52" i="25"/>
  <c r="N53" i="25"/>
  <c r="O43" i="25"/>
  <c r="O44" i="25"/>
  <c r="O45" i="25"/>
  <c r="O46" i="25"/>
  <c r="O47" i="25"/>
  <c r="O48" i="25"/>
  <c r="O49" i="25"/>
  <c r="O50" i="25"/>
  <c r="O51" i="25"/>
  <c r="O52" i="25"/>
  <c r="O53" i="25"/>
  <c r="P43" i="25"/>
  <c r="P44" i="25"/>
  <c r="P45" i="25"/>
  <c r="P46" i="25"/>
  <c r="P47" i="25"/>
  <c r="P48" i="25"/>
  <c r="P49" i="25"/>
  <c r="P50" i="25"/>
  <c r="P51" i="25"/>
  <c r="P52" i="25"/>
  <c r="P53" i="25"/>
  <c r="Q43" i="25"/>
  <c r="Q44" i="25"/>
  <c r="Q45" i="25"/>
  <c r="Q46" i="25"/>
  <c r="Q47" i="25"/>
  <c r="Q48" i="25"/>
  <c r="Q49" i="25"/>
  <c r="Q50" i="25"/>
  <c r="Q51" i="25"/>
  <c r="Q52" i="25"/>
  <c r="Q53" i="25"/>
  <c r="R43" i="25"/>
  <c r="R44" i="25"/>
  <c r="R45" i="25"/>
  <c r="R46" i="25"/>
  <c r="R47" i="25"/>
  <c r="R48" i="25"/>
  <c r="R49" i="25"/>
  <c r="R50" i="25"/>
  <c r="R51" i="25"/>
  <c r="R52" i="25"/>
  <c r="R53" i="25"/>
  <c r="S43" i="25"/>
  <c r="S44" i="25"/>
  <c r="S45" i="25"/>
  <c r="S46" i="25"/>
  <c r="S47" i="25"/>
  <c r="S48" i="25"/>
  <c r="S49" i="25"/>
  <c r="S50" i="25"/>
  <c r="S51" i="25"/>
  <c r="S52" i="25"/>
  <c r="S53" i="25"/>
  <c r="T43" i="25"/>
  <c r="T44" i="25"/>
  <c r="T45" i="25"/>
  <c r="T46" i="25"/>
  <c r="T47" i="25"/>
  <c r="T48" i="25"/>
  <c r="T49" i="25"/>
  <c r="T50" i="25"/>
  <c r="T51" i="25"/>
  <c r="T52" i="25"/>
  <c r="T53" i="25"/>
  <c r="U43" i="25"/>
  <c r="U44" i="25"/>
  <c r="U45" i="25"/>
  <c r="U46" i="25"/>
  <c r="U47" i="25"/>
  <c r="U48" i="25"/>
  <c r="U49" i="25"/>
  <c r="U50" i="25"/>
  <c r="U51" i="25"/>
  <c r="U52" i="25"/>
  <c r="U53" i="25"/>
  <c r="V43" i="25"/>
  <c r="V44" i="25"/>
  <c r="V45" i="25"/>
  <c r="V46" i="25"/>
  <c r="V47" i="25"/>
  <c r="V48" i="25"/>
  <c r="V49" i="25"/>
  <c r="V50" i="25"/>
  <c r="V51" i="25"/>
  <c r="V52" i="25"/>
  <c r="V53" i="25"/>
  <c r="W43" i="25"/>
  <c r="W44" i="25"/>
  <c r="W45" i="25"/>
  <c r="W46" i="25"/>
  <c r="W47" i="25"/>
  <c r="W48" i="25"/>
  <c r="W49" i="25"/>
  <c r="W50" i="25"/>
  <c r="W51" i="25"/>
  <c r="W52" i="25"/>
  <c r="W53" i="25"/>
  <c r="Y56" i="24"/>
  <c r="E18" i="24"/>
  <c r="L44" i="24"/>
  <c r="L45" i="24"/>
  <c r="L46" i="24"/>
  <c r="L47" i="24"/>
  <c r="L48" i="24"/>
  <c r="L49" i="24"/>
  <c r="L50" i="24"/>
  <c r="L51" i="24"/>
  <c r="L52" i="24"/>
  <c r="L53" i="24"/>
  <c r="B44" i="24"/>
  <c r="B45" i="24"/>
  <c r="B46" i="24"/>
  <c r="B47" i="24"/>
  <c r="B48" i="24"/>
  <c r="B49" i="24"/>
  <c r="B50" i="24"/>
  <c r="B51" i="24"/>
  <c r="B52" i="24"/>
  <c r="B53" i="24"/>
  <c r="C43" i="24"/>
  <c r="C44" i="24"/>
  <c r="C45" i="24"/>
  <c r="C46" i="24"/>
  <c r="C47" i="24"/>
  <c r="C48" i="24"/>
  <c r="C49" i="24"/>
  <c r="C50" i="24"/>
  <c r="C51" i="24"/>
  <c r="C52" i="24"/>
  <c r="C53" i="24"/>
  <c r="D44" i="24"/>
  <c r="D45" i="24"/>
  <c r="D46" i="24"/>
  <c r="D47" i="24"/>
  <c r="D48" i="24"/>
  <c r="D49" i="24"/>
  <c r="D50" i="24"/>
  <c r="D51" i="24"/>
  <c r="D52" i="24"/>
  <c r="D53" i="24"/>
  <c r="E43" i="24"/>
  <c r="E44" i="24"/>
  <c r="E45" i="24"/>
  <c r="E46" i="24"/>
  <c r="E47" i="24"/>
  <c r="E48" i="24"/>
  <c r="E49" i="24"/>
  <c r="E50" i="24"/>
  <c r="E51" i="24"/>
  <c r="E52" i="24"/>
  <c r="E53" i="24"/>
  <c r="F43" i="24"/>
  <c r="F44" i="24"/>
  <c r="F45" i="24"/>
  <c r="F46" i="24"/>
  <c r="F47" i="24"/>
  <c r="F48" i="24"/>
  <c r="F49" i="24"/>
  <c r="F50" i="24"/>
  <c r="F51" i="24"/>
  <c r="F52" i="24"/>
  <c r="F53" i="24"/>
  <c r="G43" i="24"/>
  <c r="G44" i="24"/>
  <c r="G45" i="24"/>
  <c r="G46" i="24"/>
  <c r="G47" i="24"/>
  <c r="G48" i="24"/>
  <c r="G49" i="24"/>
  <c r="G50" i="24"/>
  <c r="G51" i="24"/>
  <c r="G52" i="24"/>
  <c r="G53" i="24"/>
  <c r="H43" i="24"/>
  <c r="H44" i="24"/>
  <c r="H45" i="24"/>
  <c r="H46" i="24"/>
  <c r="H47" i="24"/>
  <c r="H48" i="24"/>
  <c r="H49" i="24"/>
  <c r="H50" i="24"/>
  <c r="H51" i="24"/>
  <c r="H52" i="24"/>
  <c r="H53" i="24"/>
  <c r="I43" i="24"/>
  <c r="I44" i="24"/>
  <c r="I45" i="24"/>
  <c r="I46" i="24"/>
  <c r="I47" i="24"/>
  <c r="I48" i="24"/>
  <c r="I49" i="24"/>
  <c r="I50" i="24"/>
  <c r="I51" i="24"/>
  <c r="I52" i="24"/>
  <c r="I53" i="24"/>
  <c r="J43" i="24"/>
  <c r="J44" i="24"/>
  <c r="J45" i="24"/>
  <c r="J46" i="24"/>
  <c r="J47" i="24"/>
  <c r="J48" i="24"/>
  <c r="J49" i="24"/>
  <c r="J50" i="24"/>
  <c r="J51" i="24"/>
  <c r="J52" i="24"/>
  <c r="J53" i="24"/>
  <c r="K43" i="24"/>
  <c r="K44" i="24"/>
  <c r="K45" i="24"/>
  <c r="K46" i="24"/>
  <c r="K47" i="24"/>
  <c r="K48" i="24"/>
  <c r="K49" i="24"/>
  <c r="K50" i="24"/>
  <c r="K51" i="24"/>
  <c r="K52" i="24"/>
  <c r="K53" i="24"/>
  <c r="M43" i="24"/>
  <c r="M44" i="24"/>
  <c r="M45" i="24"/>
  <c r="M46" i="24"/>
  <c r="M47" i="24"/>
  <c r="M48" i="24"/>
  <c r="M49" i="24"/>
  <c r="M50" i="24"/>
  <c r="M51" i="24"/>
  <c r="M52" i="24"/>
  <c r="M53" i="24"/>
  <c r="N43" i="24"/>
  <c r="N44" i="24"/>
  <c r="N45" i="24"/>
  <c r="N46" i="24"/>
  <c r="N47" i="24"/>
  <c r="N48" i="24"/>
  <c r="N49" i="24"/>
  <c r="N50" i="24"/>
  <c r="N51" i="24"/>
  <c r="N52" i="24"/>
  <c r="N53" i="24"/>
  <c r="O43" i="24"/>
  <c r="O44" i="24"/>
  <c r="O45" i="24"/>
  <c r="O46" i="24"/>
  <c r="O47" i="24"/>
  <c r="O48" i="24"/>
  <c r="O49" i="24"/>
  <c r="O50" i="24"/>
  <c r="O51" i="24"/>
  <c r="O52" i="24"/>
  <c r="O53" i="24"/>
  <c r="P43" i="24"/>
  <c r="P44" i="24"/>
  <c r="P45" i="24"/>
  <c r="P46" i="24"/>
  <c r="P47" i="24"/>
  <c r="P48" i="24"/>
  <c r="P49" i="24"/>
  <c r="P50" i="24"/>
  <c r="P51" i="24"/>
  <c r="P52" i="24"/>
  <c r="P53" i="24"/>
  <c r="Q43" i="24"/>
  <c r="Q44" i="24"/>
  <c r="Q45" i="24"/>
  <c r="Q46" i="24"/>
  <c r="Q47" i="24"/>
  <c r="Q48" i="24"/>
  <c r="Q49" i="24"/>
  <c r="Q50" i="24"/>
  <c r="Q51" i="24"/>
  <c r="Q52" i="24"/>
  <c r="Q53" i="24"/>
  <c r="R43" i="24"/>
  <c r="R44" i="24"/>
  <c r="R45" i="24"/>
  <c r="R46" i="24"/>
  <c r="R47" i="24"/>
  <c r="R48" i="24"/>
  <c r="R49" i="24"/>
  <c r="R50" i="24"/>
  <c r="R51" i="24"/>
  <c r="R52" i="24"/>
  <c r="R53" i="24"/>
  <c r="S43" i="24"/>
  <c r="S44" i="24"/>
  <c r="S45" i="24"/>
  <c r="S46" i="24"/>
  <c r="S47" i="24"/>
  <c r="S48" i="24"/>
  <c r="S49" i="24"/>
  <c r="S50" i="24"/>
  <c r="S51" i="24"/>
  <c r="S52" i="24"/>
  <c r="S53" i="24"/>
  <c r="T43" i="24"/>
  <c r="T44" i="24"/>
  <c r="T45" i="24"/>
  <c r="T46" i="24"/>
  <c r="T47" i="24"/>
  <c r="T48" i="24"/>
  <c r="T49" i="24"/>
  <c r="T50" i="24"/>
  <c r="T51" i="24"/>
  <c r="T52" i="24"/>
  <c r="T53" i="24"/>
  <c r="U43" i="24"/>
  <c r="U44" i="24"/>
  <c r="U45" i="24"/>
  <c r="U46" i="24"/>
  <c r="U47" i="24"/>
  <c r="U48" i="24"/>
  <c r="U49" i="24"/>
  <c r="U50" i="24"/>
  <c r="U51" i="24"/>
  <c r="U52" i="24"/>
  <c r="U53" i="24"/>
  <c r="V43" i="24"/>
  <c r="V44" i="24"/>
  <c r="V45" i="24"/>
  <c r="V46" i="24"/>
  <c r="V47" i="24"/>
  <c r="V48" i="24"/>
  <c r="V49" i="24"/>
  <c r="V50" i="24"/>
  <c r="V51" i="24"/>
  <c r="V52" i="24"/>
  <c r="V53" i="24"/>
  <c r="W43" i="24"/>
  <c r="W44" i="24"/>
  <c r="W45" i="24"/>
  <c r="W46" i="24"/>
  <c r="W47" i="24"/>
  <c r="W48" i="24"/>
  <c r="W49" i="24"/>
  <c r="W50" i="24"/>
  <c r="W51" i="24"/>
  <c r="W52" i="24"/>
  <c r="W53" i="24"/>
  <c r="Y56" i="23"/>
  <c r="E18" i="23"/>
  <c r="L44" i="23"/>
  <c r="L45" i="23"/>
  <c r="L46" i="23"/>
  <c r="L47" i="23"/>
  <c r="L48" i="23"/>
  <c r="L49" i="23"/>
  <c r="L50" i="23"/>
  <c r="L51" i="23"/>
  <c r="L52" i="23"/>
  <c r="L53" i="23"/>
  <c r="B44" i="23"/>
  <c r="B45" i="23"/>
  <c r="B46" i="23"/>
  <c r="B47" i="23"/>
  <c r="B48" i="23"/>
  <c r="B49" i="23"/>
  <c r="B50" i="23"/>
  <c r="B51" i="23"/>
  <c r="B52" i="23"/>
  <c r="B53" i="23"/>
  <c r="C43" i="23"/>
  <c r="C44" i="23"/>
  <c r="C45" i="23"/>
  <c r="C46" i="23"/>
  <c r="C47" i="23"/>
  <c r="C48" i="23"/>
  <c r="C49" i="23"/>
  <c r="C50" i="23"/>
  <c r="C51" i="23"/>
  <c r="C52" i="23"/>
  <c r="C53" i="23"/>
  <c r="D43" i="23"/>
  <c r="D44" i="23"/>
  <c r="D45" i="23"/>
  <c r="D46" i="23"/>
  <c r="D47" i="23"/>
  <c r="D48" i="23"/>
  <c r="D49" i="23"/>
  <c r="D50" i="23"/>
  <c r="D51" i="23"/>
  <c r="D52" i="23"/>
  <c r="D53" i="23"/>
  <c r="E43" i="23"/>
  <c r="E44" i="23"/>
  <c r="E45" i="23"/>
  <c r="E46" i="23"/>
  <c r="E47" i="23"/>
  <c r="E48" i="23"/>
  <c r="E49" i="23"/>
  <c r="E50" i="23"/>
  <c r="E51" i="23"/>
  <c r="E52" i="23"/>
  <c r="E53" i="23"/>
  <c r="F43" i="23"/>
  <c r="F44" i="23"/>
  <c r="F45" i="23"/>
  <c r="F46" i="23"/>
  <c r="F47" i="23"/>
  <c r="F48" i="23"/>
  <c r="F49" i="23"/>
  <c r="F50" i="23"/>
  <c r="F51" i="23"/>
  <c r="F52" i="23"/>
  <c r="F53" i="23"/>
  <c r="G43" i="23"/>
  <c r="G44" i="23"/>
  <c r="G45" i="23"/>
  <c r="G46" i="23"/>
  <c r="G47" i="23"/>
  <c r="G48" i="23"/>
  <c r="G49" i="23"/>
  <c r="G50" i="23"/>
  <c r="G51" i="23"/>
  <c r="G52" i="23"/>
  <c r="G53" i="23"/>
  <c r="H43" i="23"/>
  <c r="H44" i="23"/>
  <c r="H45" i="23"/>
  <c r="H46" i="23"/>
  <c r="H47" i="23"/>
  <c r="H48" i="23"/>
  <c r="H49" i="23"/>
  <c r="H50" i="23"/>
  <c r="H51" i="23"/>
  <c r="H52" i="23"/>
  <c r="H53" i="23"/>
  <c r="I43" i="23"/>
  <c r="I44" i="23"/>
  <c r="I45" i="23"/>
  <c r="I46" i="23"/>
  <c r="I47" i="23"/>
  <c r="I48" i="23"/>
  <c r="I49" i="23"/>
  <c r="I50" i="23"/>
  <c r="I51" i="23"/>
  <c r="I52" i="23"/>
  <c r="I53" i="23"/>
  <c r="J43" i="23"/>
  <c r="J44" i="23"/>
  <c r="J45" i="23"/>
  <c r="J46" i="23"/>
  <c r="J47" i="23"/>
  <c r="J48" i="23"/>
  <c r="J49" i="23"/>
  <c r="J50" i="23"/>
  <c r="J51" i="23"/>
  <c r="J52" i="23"/>
  <c r="J53" i="23"/>
  <c r="K43" i="23"/>
  <c r="K44" i="23"/>
  <c r="K45" i="23"/>
  <c r="K46" i="23"/>
  <c r="K47" i="23"/>
  <c r="K48" i="23"/>
  <c r="K49" i="23"/>
  <c r="K50" i="23"/>
  <c r="K51" i="23"/>
  <c r="K52" i="23"/>
  <c r="K53" i="23"/>
  <c r="M43" i="23"/>
  <c r="M44" i="23"/>
  <c r="M45" i="23"/>
  <c r="M46" i="23"/>
  <c r="M47" i="23"/>
  <c r="M48" i="23"/>
  <c r="M49" i="23"/>
  <c r="M50" i="23"/>
  <c r="M51" i="23"/>
  <c r="M52" i="23"/>
  <c r="M53" i="23"/>
  <c r="N43" i="23"/>
  <c r="N44" i="23"/>
  <c r="N45" i="23"/>
  <c r="N46" i="23"/>
  <c r="N47" i="23"/>
  <c r="N48" i="23"/>
  <c r="N49" i="23"/>
  <c r="N50" i="23"/>
  <c r="N51" i="23"/>
  <c r="N52" i="23"/>
  <c r="N53" i="23"/>
  <c r="O43" i="23"/>
  <c r="O44" i="23"/>
  <c r="O45" i="23"/>
  <c r="O46" i="23"/>
  <c r="O47" i="23"/>
  <c r="O48" i="23"/>
  <c r="O49" i="23"/>
  <c r="O50" i="23"/>
  <c r="O51" i="23"/>
  <c r="O52" i="23"/>
  <c r="O53" i="23"/>
  <c r="P43" i="23"/>
  <c r="P44" i="23"/>
  <c r="P45" i="23"/>
  <c r="P46" i="23"/>
  <c r="P47" i="23"/>
  <c r="P48" i="23"/>
  <c r="P49" i="23"/>
  <c r="P50" i="23"/>
  <c r="P51" i="23"/>
  <c r="P52" i="23"/>
  <c r="P53" i="23"/>
  <c r="Q43" i="23"/>
  <c r="Q44" i="23"/>
  <c r="Q45" i="23"/>
  <c r="Q46" i="23"/>
  <c r="Q47" i="23"/>
  <c r="Q48" i="23"/>
  <c r="Q49" i="23"/>
  <c r="Q50" i="23"/>
  <c r="Q51" i="23"/>
  <c r="Q52" i="23"/>
  <c r="Q53" i="23"/>
  <c r="R43" i="23"/>
  <c r="R44" i="23"/>
  <c r="R45" i="23"/>
  <c r="R46" i="23"/>
  <c r="R47" i="23"/>
  <c r="R48" i="23"/>
  <c r="R49" i="23"/>
  <c r="R50" i="23"/>
  <c r="R51" i="23"/>
  <c r="R52" i="23"/>
  <c r="R53" i="23"/>
  <c r="S43" i="23"/>
  <c r="S44" i="23"/>
  <c r="S45" i="23"/>
  <c r="S46" i="23"/>
  <c r="S47" i="23"/>
  <c r="S48" i="23"/>
  <c r="S49" i="23"/>
  <c r="S50" i="23"/>
  <c r="S51" i="23"/>
  <c r="S52" i="23"/>
  <c r="S53" i="23"/>
  <c r="T43" i="23"/>
  <c r="T44" i="23"/>
  <c r="T45" i="23"/>
  <c r="T46" i="23"/>
  <c r="T47" i="23"/>
  <c r="T48" i="23"/>
  <c r="T49" i="23"/>
  <c r="T50" i="23"/>
  <c r="T51" i="23"/>
  <c r="T52" i="23"/>
  <c r="T53" i="23"/>
  <c r="U43" i="23"/>
  <c r="U44" i="23"/>
  <c r="U45" i="23"/>
  <c r="U46" i="23"/>
  <c r="U47" i="23"/>
  <c r="U48" i="23"/>
  <c r="U49" i="23"/>
  <c r="U50" i="23"/>
  <c r="U51" i="23"/>
  <c r="U52" i="23"/>
  <c r="U53" i="23"/>
  <c r="V43" i="23"/>
  <c r="V44" i="23"/>
  <c r="V45" i="23"/>
  <c r="V46" i="23"/>
  <c r="V47" i="23"/>
  <c r="V48" i="23"/>
  <c r="V49" i="23"/>
  <c r="V50" i="23"/>
  <c r="V51" i="23"/>
  <c r="V52" i="23"/>
  <c r="V53" i="23"/>
  <c r="W43" i="23"/>
  <c r="W44" i="23"/>
  <c r="W45" i="23"/>
  <c r="W46" i="23"/>
  <c r="W47" i="23"/>
  <c r="W48" i="23"/>
  <c r="W49" i="23"/>
  <c r="W50" i="23"/>
  <c r="W51" i="23"/>
  <c r="W52" i="23"/>
  <c r="W53" i="23"/>
  <c r="Y56" i="22"/>
  <c r="E32" i="22"/>
  <c r="G32" i="22"/>
  <c r="M19" i="14"/>
  <c r="L44" i="22"/>
  <c r="L45" i="22"/>
  <c r="L46" i="22"/>
  <c r="L47" i="22"/>
  <c r="L48" i="22"/>
  <c r="L49" i="22"/>
  <c r="L50" i="22"/>
  <c r="L51" i="22"/>
  <c r="L52" i="22"/>
  <c r="L53" i="22"/>
  <c r="B44" i="22"/>
  <c r="B45" i="22"/>
  <c r="B46" i="22"/>
  <c r="B47" i="22"/>
  <c r="B48" i="22"/>
  <c r="B49" i="22"/>
  <c r="B50" i="22"/>
  <c r="B51" i="22"/>
  <c r="B52" i="22"/>
  <c r="B53" i="22"/>
  <c r="C44" i="22"/>
  <c r="C45" i="22"/>
  <c r="C46" i="22"/>
  <c r="C47" i="22"/>
  <c r="C48" i="22"/>
  <c r="C49" i="22"/>
  <c r="C50" i="22"/>
  <c r="C51" i="22"/>
  <c r="C52" i="22"/>
  <c r="C53" i="22"/>
  <c r="D44" i="22"/>
  <c r="D45" i="22"/>
  <c r="D46" i="22"/>
  <c r="D47" i="22"/>
  <c r="D48" i="22"/>
  <c r="D49" i="22"/>
  <c r="D50" i="22"/>
  <c r="D51" i="22"/>
  <c r="D52" i="22"/>
  <c r="D53" i="22"/>
  <c r="E44" i="22"/>
  <c r="E45" i="22"/>
  <c r="E46" i="22"/>
  <c r="E47" i="22"/>
  <c r="E48" i="22"/>
  <c r="E49" i="22"/>
  <c r="E50" i="22"/>
  <c r="E51" i="22"/>
  <c r="E52" i="22"/>
  <c r="E53" i="22"/>
  <c r="F44" i="22"/>
  <c r="F45" i="22"/>
  <c r="F46" i="22"/>
  <c r="F47" i="22"/>
  <c r="F48" i="22"/>
  <c r="F49" i="22"/>
  <c r="F50" i="22"/>
  <c r="F51" i="22"/>
  <c r="F52" i="22"/>
  <c r="F53" i="22"/>
  <c r="G44" i="22"/>
  <c r="G45" i="22"/>
  <c r="G46" i="22"/>
  <c r="G47" i="22"/>
  <c r="G48" i="22"/>
  <c r="G49" i="22"/>
  <c r="G50" i="22"/>
  <c r="G51" i="22"/>
  <c r="G52" i="22"/>
  <c r="G53" i="22"/>
  <c r="H44" i="22"/>
  <c r="H45" i="22"/>
  <c r="H46" i="22"/>
  <c r="H47" i="22"/>
  <c r="H48" i="22"/>
  <c r="H49" i="22"/>
  <c r="H50" i="22"/>
  <c r="H51" i="22"/>
  <c r="H52" i="22"/>
  <c r="H53" i="22"/>
  <c r="I44" i="22"/>
  <c r="I45" i="22"/>
  <c r="I46" i="22"/>
  <c r="I47" i="22"/>
  <c r="I48" i="22"/>
  <c r="I49" i="22"/>
  <c r="I50" i="22"/>
  <c r="I51" i="22"/>
  <c r="I52" i="22"/>
  <c r="I53" i="22"/>
  <c r="J44" i="22"/>
  <c r="J45" i="22"/>
  <c r="J46" i="22"/>
  <c r="J47" i="22"/>
  <c r="J48" i="22"/>
  <c r="J49" i="22"/>
  <c r="J50" i="22"/>
  <c r="J51" i="22"/>
  <c r="J52" i="22"/>
  <c r="J53" i="22"/>
  <c r="K44" i="22"/>
  <c r="K45" i="22"/>
  <c r="K46" i="22"/>
  <c r="K47" i="22"/>
  <c r="K48" i="22"/>
  <c r="K49" i="22"/>
  <c r="K50" i="22"/>
  <c r="K51" i="22"/>
  <c r="K52" i="22"/>
  <c r="K53" i="22"/>
  <c r="M44" i="22"/>
  <c r="M45" i="22"/>
  <c r="M46" i="22"/>
  <c r="M47" i="22"/>
  <c r="M48" i="22"/>
  <c r="M49" i="22"/>
  <c r="M50" i="22"/>
  <c r="M51" i="22"/>
  <c r="M52" i="22"/>
  <c r="M53" i="22"/>
  <c r="N44" i="22"/>
  <c r="N45" i="22"/>
  <c r="N46" i="22"/>
  <c r="N47" i="22"/>
  <c r="N48" i="22"/>
  <c r="N49" i="22"/>
  <c r="N50" i="22"/>
  <c r="N51" i="22"/>
  <c r="N52" i="22"/>
  <c r="N53" i="22"/>
  <c r="O44" i="22"/>
  <c r="O45" i="22"/>
  <c r="O46" i="22"/>
  <c r="O47" i="22"/>
  <c r="O48" i="22"/>
  <c r="O49" i="22"/>
  <c r="O50" i="22"/>
  <c r="O51" i="22"/>
  <c r="O52" i="22"/>
  <c r="O53" i="22"/>
  <c r="P44" i="22"/>
  <c r="P45" i="22"/>
  <c r="P46" i="22"/>
  <c r="P47" i="22"/>
  <c r="P48" i="22"/>
  <c r="P49" i="22"/>
  <c r="P50" i="22"/>
  <c r="P51" i="22"/>
  <c r="P52" i="22"/>
  <c r="P53" i="22"/>
  <c r="Q44" i="22"/>
  <c r="Q45" i="22"/>
  <c r="Q46" i="22"/>
  <c r="Q47" i="22"/>
  <c r="Q48" i="22"/>
  <c r="Q49" i="22"/>
  <c r="Q50" i="22"/>
  <c r="Q51" i="22"/>
  <c r="Q52" i="22"/>
  <c r="Q53" i="22"/>
  <c r="R44" i="22"/>
  <c r="R45" i="22"/>
  <c r="R46" i="22"/>
  <c r="R47" i="22"/>
  <c r="R48" i="22"/>
  <c r="R49" i="22"/>
  <c r="R50" i="22"/>
  <c r="R51" i="22"/>
  <c r="R52" i="22"/>
  <c r="R53" i="22"/>
  <c r="S44" i="22"/>
  <c r="S45" i="22"/>
  <c r="S46" i="22"/>
  <c r="S47" i="22"/>
  <c r="S48" i="22"/>
  <c r="S49" i="22"/>
  <c r="S50" i="22"/>
  <c r="S51" i="22"/>
  <c r="S52" i="22"/>
  <c r="S53" i="22"/>
  <c r="T44" i="22"/>
  <c r="T45" i="22"/>
  <c r="T46" i="22"/>
  <c r="T47" i="22"/>
  <c r="T48" i="22"/>
  <c r="T49" i="22"/>
  <c r="T50" i="22"/>
  <c r="T51" i="22"/>
  <c r="T52" i="22"/>
  <c r="T53" i="22"/>
  <c r="U44" i="22"/>
  <c r="U45" i="22"/>
  <c r="U46" i="22"/>
  <c r="U47" i="22"/>
  <c r="U48" i="22"/>
  <c r="U49" i="22"/>
  <c r="U50" i="22"/>
  <c r="U51" i="22"/>
  <c r="U52" i="22"/>
  <c r="U53" i="22"/>
  <c r="V44" i="22"/>
  <c r="V45" i="22"/>
  <c r="V46" i="22"/>
  <c r="V47" i="22"/>
  <c r="V48" i="22"/>
  <c r="V49" i="22"/>
  <c r="V50" i="22"/>
  <c r="V51" i="22"/>
  <c r="V52" i="22"/>
  <c r="V53" i="22"/>
  <c r="W44" i="22"/>
  <c r="W45" i="22"/>
  <c r="W46" i="22"/>
  <c r="W47" i="22"/>
  <c r="W48" i="22"/>
  <c r="W49" i="22"/>
  <c r="W50" i="22"/>
  <c r="W51" i="22"/>
  <c r="W52" i="22"/>
  <c r="W53" i="22"/>
  <c r="Y56" i="21"/>
  <c r="E22" i="21"/>
  <c r="H42" i="21"/>
  <c r="L44" i="21"/>
  <c r="L45" i="21"/>
  <c r="L46" i="21"/>
  <c r="L47" i="21"/>
  <c r="L48" i="21"/>
  <c r="L49" i="21"/>
  <c r="L50" i="21"/>
  <c r="L51" i="21"/>
  <c r="L52" i="21"/>
  <c r="L53" i="21"/>
  <c r="B44" i="21"/>
  <c r="B45" i="21"/>
  <c r="B46" i="21"/>
  <c r="B47" i="21"/>
  <c r="B48" i="21"/>
  <c r="B49" i="21"/>
  <c r="B50" i="21"/>
  <c r="B51" i="21"/>
  <c r="B52" i="21"/>
  <c r="B53" i="21"/>
  <c r="C44" i="21"/>
  <c r="C45" i="21"/>
  <c r="C46" i="21"/>
  <c r="C47" i="21"/>
  <c r="C48" i="21"/>
  <c r="C49" i="21"/>
  <c r="C50" i="21"/>
  <c r="C51" i="21"/>
  <c r="C52" i="21"/>
  <c r="C53" i="21"/>
  <c r="D44" i="21"/>
  <c r="D45" i="21"/>
  <c r="D46" i="21"/>
  <c r="D47" i="21"/>
  <c r="D48" i="21"/>
  <c r="D49" i="21"/>
  <c r="D50" i="21"/>
  <c r="D51" i="21"/>
  <c r="D52" i="21"/>
  <c r="D53" i="21"/>
  <c r="E43" i="21"/>
  <c r="E44" i="21"/>
  <c r="E45" i="21"/>
  <c r="E46" i="21"/>
  <c r="E47" i="21"/>
  <c r="E48" i="21"/>
  <c r="E49" i="21"/>
  <c r="E50" i="21"/>
  <c r="E51" i="21"/>
  <c r="E52" i="21"/>
  <c r="E53" i="21"/>
  <c r="F44" i="21"/>
  <c r="F45" i="21"/>
  <c r="F46" i="21"/>
  <c r="F43" i="21"/>
  <c r="F47" i="21"/>
  <c r="F48" i="21"/>
  <c r="F49" i="21"/>
  <c r="F50" i="21"/>
  <c r="F51" i="21"/>
  <c r="F52" i="21"/>
  <c r="F53" i="21"/>
  <c r="G44" i="21"/>
  <c r="G45" i="21"/>
  <c r="G46" i="21"/>
  <c r="G47" i="21"/>
  <c r="G48" i="21"/>
  <c r="G49" i="21"/>
  <c r="G50" i="21"/>
  <c r="G51" i="21"/>
  <c r="G52" i="21"/>
  <c r="G53" i="21"/>
  <c r="H43" i="21"/>
  <c r="H44" i="21"/>
  <c r="H45" i="21"/>
  <c r="H46" i="21"/>
  <c r="H47" i="21"/>
  <c r="H48" i="21"/>
  <c r="H49" i="21"/>
  <c r="H50" i="21"/>
  <c r="H51" i="21"/>
  <c r="H52" i="21"/>
  <c r="H53" i="21"/>
  <c r="I44" i="21"/>
  <c r="I45" i="21"/>
  <c r="I46" i="21"/>
  <c r="I47" i="21"/>
  <c r="I48" i="21"/>
  <c r="I49" i="21"/>
  <c r="I50" i="21"/>
  <c r="I51" i="21"/>
  <c r="I52" i="21"/>
  <c r="I53" i="21"/>
  <c r="J44" i="21"/>
  <c r="J45" i="21"/>
  <c r="J46" i="21"/>
  <c r="J47" i="21"/>
  <c r="J48" i="21"/>
  <c r="J49" i="21"/>
  <c r="J50" i="21"/>
  <c r="J51" i="21"/>
  <c r="J52" i="21"/>
  <c r="J53" i="21"/>
  <c r="K44" i="21"/>
  <c r="K45" i="21"/>
  <c r="K46" i="21"/>
  <c r="K47" i="21"/>
  <c r="K48" i="21"/>
  <c r="K49" i="21"/>
  <c r="K50" i="21"/>
  <c r="K51" i="21"/>
  <c r="K52" i="21"/>
  <c r="K53" i="21"/>
  <c r="M44" i="21"/>
  <c r="M45" i="21"/>
  <c r="M46" i="21"/>
  <c r="M47" i="21"/>
  <c r="M48" i="21"/>
  <c r="M49" i="21"/>
  <c r="M50" i="21"/>
  <c r="M51" i="21"/>
  <c r="M52" i="21"/>
  <c r="M53" i="21"/>
  <c r="N44" i="21"/>
  <c r="N45" i="21"/>
  <c r="N46" i="21"/>
  <c r="N47" i="21"/>
  <c r="N48" i="21"/>
  <c r="N49" i="21"/>
  <c r="N50" i="21"/>
  <c r="N51" i="21"/>
  <c r="N52" i="21"/>
  <c r="N53" i="21"/>
  <c r="O44" i="21"/>
  <c r="O45" i="21"/>
  <c r="O46" i="21"/>
  <c r="O47" i="21"/>
  <c r="O48" i="21"/>
  <c r="O49" i="21"/>
  <c r="O50" i="21"/>
  <c r="O51" i="21"/>
  <c r="O52" i="21"/>
  <c r="O53" i="21"/>
  <c r="P44" i="21"/>
  <c r="P45" i="21"/>
  <c r="P46" i="21"/>
  <c r="P47" i="21"/>
  <c r="P48" i="21"/>
  <c r="P49" i="21"/>
  <c r="P50" i="21"/>
  <c r="P51" i="21"/>
  <c r="P52" i="21"/>
  <c r="P53" i="21"/>
  <c r="Q43" i="21"/>
  <c r="Q44" i="21"/>
  <c r="Q45" i="21"/>
  <c r="Q46" i="21"/>
  <c r="Q47" i="21"/>
  <c r="Q48" i="21"/>
  <c r="Q49" i="21"/>
  <c r="Q50" i="21"/>
  <c r="Q51" i="21"/>
  <c r="Q52" i="21"/>
  <c r="Q53" i="21"/>
  <c r="R44" i="21"/>
  <c r="R45" i="21"/>
  <c r="R46" i="21"/>
  <c r="R47" i="21"/>
  <c r="R48" i="21"/>
  <c r="R49" i="21"/>
  <c r="R50" i="21"/>
  <c r="R51" i="21"/>
  <c r="R52" i="21"/>
  <c r="R53" i="21"/>
  <c r="S44" i="21"/>
  <c r="S45" i="21"/>
  <c r="S46" i="21"/>
  <c r="S47" i="21"/>
  <c r="S48" i="21"/>
  <c r="S49" i="21"/>
  <c r="S50" i="21"/>
  <c r="S51" i="21"/>
  <c r="S52" i="21"/>
  <c r="S53" i="21"/>
  <c r="T44" i="21"/>
  <c r="T45" i="21"/>
  <c r="T46" i="21"/>
  <c r="T47" i="21"/>
  <c r="T48" i="21"/>
  <c r="T49" i="21"/>
  <c r="T50" i="21"/>
  <c r="T51" i="21"/>
  <c r="T52" i="21"/>
  <c r="T53" i="21"/>
  <c r="U44" i="21"/>
  <c r="U45" i="21"/>
  <c r="U46" i="21"/>
  <c r="U47" i="21"/>
  <c r="U48" i="21"/>
  <c r="U49" i="21"/>
  <c r="U50" i="21"/>
  <c r="U51" i="21"/>
  <c r="U52" i="21"/>
  <c r="U53" i="21"/>
  <c r="V44" i="21"/>
  <c r="V45" i="21"/>
  <c r="V46" i="21"/>
  <c r="V47" i="21"/>
  <c r="V48" i="21"/>
  <c r="V49" i="21"/>
  <c r="V50" i="21"/>
  <c r="V51" i="21"/>
  <c r="V52" i="21"/>
  <c r="V53" i="21"/>
  <c r="W44" i="21"/>
  <c r="W45" i="21"/>
  <c r="W46" i="21"/>
  <c r="W47" i="21"/>
  <c r="W48" i="21"/>
  <c r="W49" i="21"/>
  <c r="W50" i="21"/>
  <c r="W51" i="21"/>
  <c r="W52" i="21"/>
  <c r="W53" i="21"/>
  <c r="AC27" i="29"/>
  <c r="AC26" i="29"/>
  <c r="AC25" i="29"/>
  <c r="AC24" i="29"/>
  <c r="AC23" i="29"/>
  <c r="AC22" i="29"/>
  <c r="AC21" i="29"/>
  <c r="AC20" i="29"/>
  <c r="AC19" i="29"/>
  <c r="AC18" i="29"/>
  <c r="AC17" i="29"/>
  <c r="AC16" i="29"/>
  <c r="AC15" i="29"/>
  <c r="AC14" i="29"/>
  <c r="AC13" i="29"/>
  <c r="AC12" i="29"/>
  <c r="AC11" i="29"/>
  <c r="AC10" i="29"/>
  <c r="AC9" i="29"/>
  <c r="AC8" i="29"/>
  <c r="AC7" i="29"/>
  <c r="AC6" i="29"/>
  <c r="AC5" i="29"/>
  <c r="AC4" i="29"/>
  <c r="Z118" i="29"/>
  <c r="F30" i="20"/>
  <c r="F17" i="14"/>
  <c r="F31" i="20"/>
  <c r="F18" i="14"/>
  <c r="F32" i="20"/>
  <c r="F19" i="14"/>
  <c r="F33" i="20"/>
  <c r="F30" i="21"/>
  <c r="I17" i="14"/>
  <c r="F31" i="21"/>
  <c r="I18" i="14"/>
  <c r="F32" i="21"/>
  <c r="I19" i="14"/>
  <c r="F33" i="21"/>
  <c r="I20" i="14"/>
  <c r="F30" i="22"/>
  <c r="L17" i="14"/>
  <c r="F31" i="22"/>
  <c r="L18" i="14"/>
  <c r="F32" i="22"/>
  <c r="F33" i="22"/>
  <c r="L20" i="14"/>
  <c r="F30" i="23"/>
  <c r="O17" i="14"/>
  <c r="F31" i="23"/>
  <c r="O18" i="14"/>
  <c r="F32" i="23"/>
  <c r="O19" i="14"/>
  <c r="F33" i="23"/>
  <c r="O20" i="14"/>
  <c r="F30" i="24"/>
  <c r="C36" i="14"/>
  <c r="F31" i="24"/>
  <c r="F32" i="24"/>
  <c r="C38" i="14"/>
  <c r="F33" i="24"/>
  <c r="F30" i="25"/>
  <c r="F31" i="25"/>
  <c r="F37" i="14"/>
  <c r="F32" i="25"/>
  <c r="F38" i="14"/>
  <c r="F33" i="25"/>
  <c r="F30" i="26"/>
  <c r="F31" i="26"/>
  <c r="I37" i="14"/>
  <c r="F32" i="26"/>
  <c r="I38" i="14"/>
  <c r="F33" i="26"/>
  <c r="F30" i="27"/>
  <c r="L36" i="14"/>
  <c r="F31" i="27"/>
  <c r="L37" i="14"/>
  <c r="E31" i="27"/>
  <c r="G31" i="27"/>
  <c r="M37" i="14"/>
  <c r="F32" i="27"/>
  <c r="L38" i="14"/>
  <c r="F33" i="27"/>
  <c r="F30" i="28"/>
  <c r="O36" i="14"/>
  <c r="F31" i="28"/>
  <c r="O37" i="14"/>
  <c r="F32" i="28"/>
  <c r="O38" i="14"/>
  <c r="F33" i="28"/>
  <c r="D30" i="20"/>
  <c r="D31" i="20"/>
  <c r="D32" i="20"/>
  <c r="D33" i="20"/>
  <c r="D30" i="21"/>
  <c r="D31" i="21"/>
  <c r="D32" i="21"/>
  <c r="D33" i="21"/>
  <c r="D30" i="22"/>
  <c r="D31" i="22"/>
  <c r="D32" i="22"/>
  <c r="D33" i="22"/>
  <c r="D30" i="23"/>
  <c r="D31" i="23"/>
  <c r="D32" i="23"/>
  <c r="D33" i="23"/>
  <c r="D30" i="24"/>
  <c r="D31" i="24"/>
  <c r="D32" i="24"/>
  <c r="D33" i="24"/>
  <c r="D30" i="25"/>
  <c r="D31" i="25"/>
  <c r="D32" i="25"/>
  <c r="D33" i="25"/>
  <c r="D30" i="26"/>
  <c r="D31" i="26"/>
  <c r="D32" i="26"/>
  <c r="D33" i="26"/>
  <c r="D30" i="27"/>
  <c r="D31" i="27"/>
  <c r="D32" i="27"/>
  <c r="D33" i="27"/>
  <c r="D30" i="28"/>
  <c r="D31" i="28"/>
  <c r="D32" i="28"/>
  <c r="D33" i="28"/>
  <c r="F19" i="28"/>
  <c r="O25" i="14"/>
  <c r="F20" i="28"/>
  <c r="O26" i="14"/>
  <c r="F21" i="28"/>
  <c r="O27" i="14"/>
  <c r="F22" i="28"/>
  <c r="O28" i="14"/>
  <c r="F23" i="28"/>
  <c r="O29" i="14"/>
  <c r="F24" i="28"/>
  <c r="O30" i="14"/>
  <c r="F25" i="28"/>
  <c r="O31" i="14"/>
  <c r="F26" i="28"/>
  <c r="O32" i="14"/>
  <c r="F27" i="28"/>
  <c r="O33" i="14"/>
  <c r="F28" i="28"/>
  <c r="O34" i="14"/>
  <c r="F29" i="28"/>
  <c r="O35" i="14"/>
  <c r="F19" i="27"/>
  <c r="L25" i="14"/>
  <c r="F20" i="27"/>
  <c r="L26" i="14"/>
  <c r="F21" i="27"/>
  <c r="L27" i="14"/>
  <c r="F22" i="27"/>
  <c r="L28" i="14"/>
  <c r="F23" i="27"/>
  <c r="L29" i="14"/>
  <c r="F24" i="27"/>
  <c r="L30" i="14"/>
  <c r="F25" i="27"/>
  <c r="L31" i="14"/>
  <c r="E25" i="27"/>
  <c r="G25" i="27"/>
  <c r="M31" i="14"/>
  <c r="F26" i="27"/>
  <c r="L32" i="14"/>
  <c r="F27" i="27"/>
  <c r="L33" i="14"/>
  <c r="F28" i="27"/>
  <c r="L34" i="14"/>
  <c r="F29" i="27"/>
  <c r="L35" i="14"/>
  <c r="F19" i="26"/>
  <c r="I25" i="14"/>
  <c r="F20" i="26"/>
  <c r="I26" i="14"/>
  <c r="F21" i="26"/>
  <c r="I27" i="14"/>
  <c r="F22" i="26"/>
  <c r="I28" i="14"/>
  <c r="F23" i="26"/>
  <c r="I29" i="14"/>
  <c r="F24" i="26"/>
  <c r="I30" i="14"/>
  <c r="F25" i="26"/>
  <c r="I31" i="14"/>
  <c r="F26" i="26"/>
  <c r="I32" i="14"/>
  <c r="F27" i="26"/>
  <c r="I33" i="14"/>
  <c r="F28" i="26"/>
  <c r="I34" i="14"/>
  <c r="F29" i="26"/>
  <c r="I35" i="14"/>
  <c r="I36" i="14"/>
  <c r="F19" i="25"/>
  <c r="F25" i="14"/>
  <c r="F20" i="25"/>
  <c r="F26" i="14"/>
  <c r="F21" i="25"/>
  <c r="F27" i="14"/>
  <c r="F22" i="25"/>
  <c r="F28" i="14"/>
  <c r="F23" i="25"/>
  <c r="F29" i="14"/>
  <c r="F24" i="25"/>
  <c r="F30" i="14"/>
  <c r="F25" i="25"/>
  <c r="F31" i="14"/>
  <c r="F26" i="25"/>
  <c r="F32" i="14"/>
  <c r="E26" i="25"/>
  <c r="G26" i="25"/>
  <c r="G32" i="14"/>
  <c r="F27" i="25"/>
  <c r="F33" i="14"/>
  <c r="F28" i="25"/>
  <c r="F34" i="14"/>
  <c r="F29" i="25"/>
  <c r="F35" i="14"/>
  <c r="F36" i="14"/>
  <c r="F19" i="24"/>
  <c r="C25" i="14"/>
  <c r="F20" i="24"/>
  <c r="C26" i="14"/>
  <c r="F21" i="24"/>
  <c r="C27" i="14"/>
  <c r="F22" i="24"/>
  <c r="C28" i="14"/>
  <c r="F23" i="24"/>
  <c r="C29" i="14"/>
  <c r="F24" i="24"/>
  <c r="C30" i="14"/>
  <c r="F25" i="24"/>
  <c r="C31" i="14"/>
  <c r="F26" i="24"/>
  <c r="C32" i="14"/>
  <c r="F27" i="24"/>
  <c r="C33" i="14"/>
  <c r="F28" i="24"/>
  <c r="C34" i="14"/>
  <c r="F29" i="24"/>
  <c r="C35" i="14"/>
  <c r="C37" i="14"/>
  <c r="F19" i="23"/>
  <c r="O6" i="14"/>
  <c r="F20" i="23"/>
  <c r="O7" i="14"/>
  <c r="F21" i="23"/>
  <c r="O8" i="14"/>
  <c r="F22" i="23"/>
  <c r="O9" i="14"/>
  <c r="F23" i="23"/>
  <c r="O10" i="14"/>
  <c r="F24" i="23"/>
  <c r="O11" i="14"/>
  <c r="F25" i="23"/>
  <c r="O12" i="14"/>
  <c r="F26" i="23"/>
  <c r="O13" i="14"/>
  <c r="F27" i="23"/>
  <c r="O14" i="14"/>
  <c r="F28" i="23"/>
  <c r="O15" i="14"/>
  <c r="F29" i="23"/>
  <c r="O16" i="14"/>
  <c r="F19" i="22"/>
  <c r="L6" i="14"/>
  <c r="F20" i="22"/>
  <c r="L7" i="14"/>
  <c r="F21" i="22"/>
  <c r="L8" i="14"/>
  <c r="F22" i="22"/>
  <c r="L9" i="14"/>
  <c r="F23" i="22"/>
  <c r="L10" i="14"/>
  <c r="F24" i="22"/>
  <c r="L11" i="14"/>
  <c r="F25" i="22"/>
  <c r="L12" i="14"/>
  <c r="F26" i="22"/>
  <c r="L13" i="14"/>
  <c r="F27" i="22"/>
  <c r="L14" i="14"/>
  <c r="F28" i="22"/>
  <c r="L15" i="14"/>
  <c r="F29" i="22"/>
  <c r="L16" i="14"/>
  <c r="L19" i="14"/>
  <c r="F19" i="21"/>
  <c r="I6" i="14"/>
  <c r="F20" i="21"/>
  <c r="I7" i="14"/>
  <c r="F21" i="21"/>
  <c r="I8" i="14"/>
  <c r="F22" i="21"/>
  <c r="I9" i="14"/>
  <c r="F23" i="21"/>
  <c r="I10" i="14"/>
  <c r="F24" i="21"/>
  <c r="I11" i="14"/>
  <c r="F25" i="21"/>
  <c r="I12" i="14"/>
  <c r="F26" i="21"/>
  <c r="I13" i="14"/>
  <c r="F27" i="21"/>
  <c r="I14" i="14"/>
  <c r="F28" i="21"/>
  <c r="I15" i="14"/>
  <c r="F29" i="21"/>
  <c r="I16" i="14"/>
  <c r="F20" i="20"/>
  <c r="F7" i="14"/>
  <c r="F21" i="20"/>
  <c r="F8" i="14"/>
  <c r="F22" i="20"/>
  <c r="F9" i="14"/>
  <c r="F23" i="20"/>
  <c r="F10" i="14" s="1"/>
  <c r="F24" i="20"/>
  <c r="F11" i="14"/>
  <c r="F25" i="20"/>
  <c r="F12" i="14"/>
  <c r="F26" i="20"/>
  <c r="F13" i="14"/>
  <c r="F27" i="20"/>
  <c r="F14" i="14"/>
  <c r="F28" i="20"/>
  <c r="F15" i="14"/>
  <c r="F29" i="20"/>
  <c r="F16" i="14"/>
  <c r="F20" i="14"/>
  <c r="C12" i="14"/>
  <c r="C13" i="14"/>
  <c r="C14" i="14"/>
  <c r="C15" i="14"/>
  <c r="C16" i="14"/>
  <c r="C17" i="14"/>
  <c r="C18" i="14"/>
  <c r="C19" i="14"/>
  <c r="C20" i="14"/>
  <c r="B2" i="28"/>
  <c r="B2" i="27"/>
  <c r="R13" i="30"/>
  <c r="B2" i="26"/>
  <c r="R12" i="30"/>
  <c r="B2" i="25"/>
  <c r="R11" i="30"/>
  <c r="B2" i="24"/>
  <c r="B2" i="23"/>
  <c r="R9" i="30"/>
  <c r="B2" i="22"/>
  <c r="R8" i="30"/>
  <c r="B2" i="21"/>
  <c r="R7" i="30"/>
  <c r="B2" i="20"/>
  <c r="F4" i="14"/>
  <c r="S9" i="30"/>
  <c r="S8" i="30"/>
  <c r="S7" i="30"/>
  <c r="S6" i="30"/>
  <c r="R5" i="30"/>
  <c r="D29" i="28"/>
  <c r="D28" i="28"/>
  <c r="D27" i="28"/>
  <c r="D26" i="28"/>
  <c r="D25" i="28"/>
  <c r="D24" i="28"/>
  <c r="D23" i="28"/>
  <c r="D22" i="28"/>
  <c r="D21" i="28"/>
  <c r="D20" i="28"/>
  <c r="D19" i="28"/>
  <c r="F18" i="28"/>
  <c r="O24" i="14"/>
  <c r="D18" i="28"/>
  <c r="D29" i="27"/>
  <c r="D28" i="27"/>
  <c r="D27" i="27"/>
  <c r="D26" i="27"/>
  <c r="D25" i="27"/>
  <c r="D24" i="27"/>
  <c r="D23" i="27"/>
  <c r="D22" i="27"/>
  <c r="D21" i="27"/>
  <c r="D20" i="27"/>
  <c r="D19" i="27"/>
  <c r="F18" i="27"/>
  <c r="L24" i="14"/>
  <c r="D18" i="27"/>
  <c r="D29" i="26"/>
  <c r="D28" i="26"/>
  <c r="D27" i="26"/>
  <c r="D26" i="26"/>
  <c r="D25" i="26"/>
  <c r="D24" i="26"/>
  <c r="D23" i="26"/>
  <c r="D22" i="26"/>
  <c r="D21" i="26"/>
  <c r="D20" i="26"/>
  <c r="D19" i="26"/>
  <c r="F18" i="26"/>
  <c r="I24" i="14"/>
  <c r="D18" i="26"/>
  <c r="D29" i="25"/>
  <c r="D28" i="25"/>
  <c r="D27" i="25"/>
  <c r="D26" i="25"/>
  <c r="D25" i="25"/>
  <c r="D24" i="25"/>
  <c r="D23" i="25"/>
  <c r="D22" i="25"/>
  <c r="D21" i="25"/>
  <c r="D20" i="25"/>
  <c r="D19" i="25"/>
  <c r="F18" i="25"/>
  <c r="F24" i="14"/>
  <c r="D18" i="25"/>
  <c r="D29" i="24"/>
  <c r="D28" i="24"/>
  <c r="D27" i="24"/>
  <c r="D26" i="24"/>
  <c r="D25" i="24"/>
  <c r="D24" i="24"/>
  <c r="D23" i="24"/>
  <c r="D22" i="24"/>
  <c r="D21" i="24"/>
  <c r="D20" i="24"/>
  <c r="D19" i="24"/>
  <c r="F18" i="24"/>
  <c r="C24" i="14"/>
  <c r="D18" i="24"/>
  <c r="D29" i="23"/>
  <c r="D28" i="23"/>
  <c r="D27" i="23"/>
  <c r="D26" i="23"/>
  <c r="D25" i="23"/>
  <c r="D24" i="23"/>
  <c r="D23" i="23"/>
  <c r="D22" i="23"/>
  <c r="D21" i="23"/>
  <c r="D20" i="23"/>
  <c r="D19" i="23"/>
  <c r="F18" i="23"/>
  <c r="O5" i="14"/>
  <c r="D18" i="23"/>
  <c r="D29" i="22"/>
  <c r="D28" i="22"/>
  <c r="D27" i="22"/>
  <c r="D26" i="22"/>
  <c r="D25" i="22"/>
  <c r="D24" i="22"/>
  <c r="D23" i="22"/>
  <c r="D22" i="22"/>
  <c r="D21" i="22"/>
  <c r="D20" i="22"/>
  <c r="D19" i="22"/>
  <c r="F18" i="22"/>
  <c r="D18" i="22"/>
  <c r="D29" i="21"/>
  <c r="D28" i="21"/>
  <c r="D27" i="21"/>
  <c r="D26" i="21"/>
  <c r="D25" i="21"/>
  <c r="D24" i="21"/>
  <c r="D23" i="21"/>
  <c r="D22" i="21"/>
  <c r="D21" i="21"/>
  <c r="D20" i="21"/>
  <c r="D19" i="21"/>
  <c r="F18" i="21"/>
  <c r="I5" i="14"/>
  <c r="D18" i="21"/>
  <c r="D29" i="20"/>
  <c r="D28" i="20"/>
  <c r="D27" i="20"/>
  <c r="D26" i="20"/>
  <c r="D25" i="20"/>
  <c r="D24" i="20"/>
  <c r="D23" i="20"/>
  <c r="D22" i="20"/>
  <c r="D21" i="20"/>
  <c r="D20" i="20"/>
  <c r="F19" i="20"/>
  <c r="F6" i="14"/>
  <c r="D19" i="20"/>
  <c r="F18" i="20"/>
  <c r="F5" i="14"/>
  <c r="S5" i="30"/>
  <c r="Z31" i="29"/>
  <c r="Z62" i="29"/>
  <c r="Z63" i="29"/>
  <c r="Z64" i="29"/>
  <c r="Z5" i="29"/>
  <c r="Z6" i="29"/>
  <c r="Z7" i="29"/>
  <c r="Z8" i="29"/>
  <c r="Z9" i="29"/>
  <c r="Z10" i="29"/>
  <c r="Z11" i="29"/>
  <c r="Z12" i="29"/>
  <c r="Z13" i="29"/>
  <c r="Z14" i="29"/>
  <c r="Z15" i="29"/>
  <c r="Z16" i="29"/>
  <c r="Z17" i="29"/>
  <c r="Z18" i="29"/>
  <c r="Z19" i="29"/>
  <c r="Z20" i="29"/>
  <c r="Z21" i="29"/>
  <c r="Z22" i="29"/>
  <c r="Z23" i="29"/>
  <c r="Z24" i="29"/>
  <c r="Z25" i="29"/>
  <c r="Z26" i="29"/>
  <c r="Z27" i="29"/>
  <c r="Z28" i="29"/>
  <c r="Z29" i="29"/>
  <c r="Z30"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6" i="29"/>
  <c r="Z67" i="29"/>
  <c r="Z68" i="29"/>
  <c r="Z70" i="29"/>
  <c r="Z71" i="29"/>
  <c r="Z72" i="29"/>
  <c r="Z73" i="29"/>
  <c r="Z77" i="29"/>
  <c r="Z79"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4" i="29"/>
  <c r="Z119" i="29"/>
  <c r="C11" i="14"/>
  <c r="C9" i="14"/>
  <c r="C8" i="14"/>
  <c r="C7" i="14"/>
  <c r="C6" i="14"/>
  <c r="C5" i="14"/>
  <c r="P23" i="14"/>
  <c r="M23" i="14"/>
  <c r="L23" i="14"/>
  <c r="J23" i="14"/>
  <c r="I23" i="14"/>
  <c r="G23" i="14"/>
  <c r="D23" i="14"/>
  <c r="L5" i="14"/>
  <c r="P4" i="14"/>
  <c r="O4" i="14"/>
  <c r="M4" i="14"/>
  <c r="J4" i="14"/>
  <c r="G4" i="14"/>
  <c r="D4" i="14"/>
  <c r="C4" i="14"/>
  <c r="L43" i="23"/>
  <c r="E26" i="27"/>
  <c r="G26" i="27"/>
  <c r="M32" i="14"/>
  <c r="E29" i="27"/>
  <c r="G29" i="27"/>
  <c r="M35" i="14"/>
  <c r="E30" i="27"/>
  <c r="G30" i="27"/>
  <c r="M36" i="14"/>
  <c r="L43" i="26"/>
  <c r="D43" i="24"/>
  <c r="B43" i="24"/>
  <c r="C43" i="21"/>
  <c r="N43" i="28"/>
  <c r="B43" i="21"/>
  <c r="B43" i="23"/>
  <c r="E19" i="27"/>
  <c r="X39" i="27"/>
  <c r="E20" i="27"/>
  <c r="X40" i="27"/>
  <c r="L43" i="25"/>
  <c r="L43" i="24"/>
  <c r="F43" i="26"/>
  <c r="I43" i="26"/>
  <c r="V43" i="26"/>
  <c r="M43" i="26"/>
  <c r="P43" i="26"/>
  <c r="U43" i="26"/>
  <c r="B43" i="26"/>
  <c r="E43" i="26"/>
  <c r="T43" i="26"/>
  <c r="H43" i="26"/>
  <c r="S43" i="26"/>
  <c r="K43" i="26"/>
  <c r="O43" i="26"/>
  <c r="R43" i="26"/>
  <c r="D43" i="26"/>
  <c r="G43" i="26"/>
  <c r="J43" i="26"/>
  <c r="N43" i="26"/>
  <c r="Q43" i="26"/>
  <c r="C43" i="26"/>
  <c r="W43" i="26"/>
  <c r="B43" i="28"/>
  <c r="F43" i="28"/>
  <c r="J43" i="28"/>
  <c r="O43" i="28"/>
  <c r="S43" i="28"/>
  <c r="W43" i="28"/>
  <c r="C43" i="28"/>
  <c r="G43" i="28"/>
  <c r="K43" i="28"/>
  <c r="P43" i="28"/>
  <c r="T43" i="28"/>
  <c r="D43" i="28"/>
  <c r="H43" i="28"/>
  <c r="M43" i="28"/>
  <c r="Q43" i="28"/>
  <c r="U43" i="28"/>
  <c r="L43" i="28"/>
  <c r="E43" i="28"/>
  <c r="I43" i="28"/>
  <c r="R43" i="28"/>
  <c r="V43" i="28"/>
  <c r="B43" i="22"/>
  <c r="K43" i="22"/>
  <c r="C43" i="22"/>
  <c r="N43" i="22"/>
  <c r="V43" i="22"/>
  <c r="J43" i="22"/>
  <c r="D43" i="27"/>
  <c r="H43" i="27"/>
  <c r="M43" i="27"/>
  <c r="Q43" i="27"/>
  <c r="U43" i="27"/>
  <c r="L43" i="27"/>
  <c r="E43" i="27"/>
  <c r="I43" i="27"/>
  <c r="N43" i="27"/>
  <c r="R43" i="27"/>
  <c r="V43" i="27"/>
  <c r="B43" i="27"/>
  <c r="F43" i="27"/>
  <c r="J43" i="27"/>
  <c r="O43" i="27"/>
  <c r="S43" i="27"/>
  <c r="W43" i="27"/>
  <c r="G43" i="27"/>
  <c r="P43" i="27"/>
  <c r="C43" i="27"/>
  <c r="K43" i="27"/>
  <c r="T43" i="27"/>
  <c r="P43" i="21"/>
  <c r="G43" i="21"/>
  <c r="U43" i="21"/>
  <c r="M43" i="21"/>
  <c r="R43" i="21"/>
  <c r="I43" i="21"/>
  <c r="L43" i="21"/>
  <c r="W43" i="21"/>
  <c r="O43" i="21"/>
  <c r="D43" i="21"/>
  <c r="T43" i="21"/>
  <c r="K43" i="21"/>
  <c r="V43" i="21"/>
  <c r="N43" i="21"/>
  <c r="S43" i="21"/>
  <c r="J43" i="21"/>
  <c r="R43" i="22"/>
  <c r="T43" i="22"/>
  <c r="S43" i="22"/>
  <c r="I43" i="22"/>
  <c r="F43" i="22"/>
  <c r="W43" i="22"/>
  <c r="U43" i="22"/>
  <c r="L43" i="22"/>
  <c r="O43" i="22"/>
  <c r="Q43" i="22"/>
  <c r="D43" i="22"/>
  <c r="G43" i="22"/>
  <c r="M43" i="22"/>
  <c r="E43" i="22"/>
  <c r="H43" i="22"/>
  <c r="P43" i="22"/>
  <c r="O42" i="21"/>
  <c r="I4" i="14"/>
  <c r="R6" i="30"/>
  <c r="E26" i="23"/>
  <c r="G26" i="23"/>
  <c r="P13" i="14"/>
  <c r="B42" i="21"/>
  <c r="N42" i="21"/>
  <c r="C42" i="21"/>
  <c r="I42" i="21"/>
  <c r="E32" i="21"/>
  <c r="G32" i="21"/>
  <c r="J19" i="14"/>
  <c r="E30" i="21"/>
  <c r="G30" i="21"/>
  <c r="J17" i="14"/>
  <c r="K42" i="21"/>
  <c r="T42" i="21"/>
  <c r="Q42" i="21"/>
  <c r="W42" i="21"/>
  <c r="E27" i="21"/>
  <c r="G27" i="21"/>
  <c r="J14" i="14"/>
  <c r="F42" i="21"/>
  <c r="J42" i="21"/>
  <c r="M42" i="21"/>
  <c r="E31" i="21"/>
  <c r="G31" i="21"/>
  <c r="J18" i="14"/>
  <c r="E28" i="21"/>
  <c r="G28" i="21"/>
  <c r="J15" i="14"/>
  <c r="E21" i="21"/>
  <c r="V42" i="21"/>
  <c r="E20" i="21"/>
  <c r="F40" i="21"/>
  <c r="E19" i="21"/>
  <c r="R39" i="21"/>
  <c r="S42" i="21"/>
  <c r="E18" i="21"/>
  <c r="S38" i="21"/>
  <c r="D42" i="21"/>
  <c r="J39" i="27"/>
  <c r="P42" i="21"/>
  <c r="R42" i="21"/>
  <c r="E42" i="21"/>
  <c r="G40" i="27"/>
  <c r="C23" i="14"/>
  <c r="R10" i="30"/>
  <c r="L42" i="21"/>
  <c r="G42" i="21"/>
  <c r="F40" i="27"/>
  <c r="L4" i="14"/>
  <c r="E33" i="21"/>
  <c r="G33" i="21"/>
  <c r="J20" i="14"/>
  <c r="U42" i="21"/>
  <c r="E29" i="21"/>
  <c r="G29" i="21"/>
  <c r="J16" i="14"/>
  <c r="O23" i="14"/>
  <c r="R14" i="30"/>
  <c r="E26" i="21"/>
  <c r="G26" i="21"/>
  <c r="J13" i="14"/>
  <c r="V40" i="27"/>
  <c r="E25" i="25"/>
  <c r="G25" i="25"/>
  <c r="G31" i="14"/>
  <c r="E22" i="25"/>
  <c r="E29" i="25"/>
  <c r="G29" i="25"/>
  <c r="G35" i="14"/>
  <c r="Q40" i="27"/>
  <c r="H40" i="27"/>
  <c r="P40" i="27"/>
  <c r="E25" i="26"/>
  <c r="G25" i="26"/>
  <c r="J31" i="14"/>
  <c r="E27" i="26"/>
  <c r="G27" i="26"/>
  <c r="J33" i="14"/>
  <c r="N39" i="27"/>
  <c r="B39" i="27"/>
  <c r="R39" i="27"/>
  <c r="U39" i="27"/>
  <c r="D39" i="27"/>
  <c r="P39" i="27"/>
  <c r="G39" i="27"/>
  <c r="S39" i="27"/>
  <c r="G22" i="21"/>
  <c r="J9" i="14"/>
  <c r="X42" i="21"/>
  <c r="F23" i="14"/>
  <c r="K40" i="27"/>
  <c r="B40" i="27"/>
  <c r="M40" i="27"/>
  <c r="E39" i="27"/>
  <c r="T39" i="27"/>
  <c r="O39" i="27"/>
  <c r="E22" i="26"/>
  <c r="E27" i="27"/>
  <c r="G27" i="27"/>
  <c r="M33" i="14"/>
  <c r="E23" i="21"/>
  <c r="G23" i="21"/>
  <c r="J10" i="14"/>
  <c r="E25" i="21"/>
  <c r="G25" i="21"/>
  <c r="J12" i="14"/>
  <c r="C40" i="27"/>
  <c r="R40" i="27"/>
  <c r="D40" i="27"/>
  <c r="I39" i="27"/>
  <c r="K39" i="27"/>
  <c r="F39" i="27"/>
  <c r="E23" i="27"/>
  <c r="G23" i="27"/>
  <c r="M29" i="14"/>
  <c r="E18" i="22"/>
  <c r="F38" i="22"/>
  <c r="E21" i="26"/>
  <c r="D41" i="26"/>
  <c r="E28" i="27"/>
  <c r="G28" i="27"/>
  <c r="M34" i="14"/>
  <c r="E29" i="26"/>
  <c r="G29" i="26"/>
  <c r="J35" i="14"/>
  <c r="W40" i="27"/>
  <c r="E20" i="26"/>
  <c r="L40" i="26"/>
  <c r="E30" i="26"/>
  <c r="G30" i="26"/>
  <c r="J36" i="14"/>
  <c r="G20" i="27"/>
  <c r="M26" i="14"/>
  <c r="S40" i="27"/>
  <c r="I40" i="27"/>
  <c r="Q39" i="27"/>
  <c r="C39" i="27"/>
  <c r="E22" i="27"/>
  <c r="N40" i="27"/>
  <c r="L40" i="27"/>
  <c r="O40" i="27"/>
  <c r="E40" i="27"/>
  <c r="G19" i="27"/>
  <c r="M25" i="14"/>
  <c r="M39" i="27"/>
  <c r="L39" i="27"/>
  <c r="E18" i="27"/>
  <c r="E23" i="26"/>
  <c r="G23" i="26"/>
  <c r="J29" i="14"/>
  <c r="E18" i="26"/>
  <c r="E32" i="27"/>
  <c r="G32" i="27"/>
  <c r="M38" i="14"/>
  <c r="E28" i="26"/>
  <c r="G28" i="26"/>
  <c r="J34" i="14"/>
  <c r="E26" i="26"/>
  <c r="G26" i="26"/>
  <c r="J32" i="14"/>
  <c r="T40" i="27"/>
  <c r="J40" i="27"/>
  <c r="U40" i="27"/>
  <c r="V39" i="27"/>
  <c r="H39" i="27"/>
  <c r="W39" i="27"/>
  <c r="E21" i="27"/>
  <c r="S41" i="27"/>
  <c r="E24" i="27"/>
  <c r="G24" i="27"/>
  <c r="M30" i="14"/>
  <c r="E33" i="26"/>
  <c r="G33" i="26"/>
  <c r="E31" i="26"/>
  <c r="G31" i="26"/>
  <c r="J37" i="14"/>
  <c r="E24" i="26"/>
  <c r="G24" i="26"/>
  <c r="J30" i="14"/>
  <c r="E32" i="26"/>
  <c r="G32" i="26"/>
  <c r="J38" i="14"/>
  <c r="S39" i="21"/>
  <c r="E25" i="22"/>
  <c r="G25" i="22"/>
  <c r="M12" i="14"/>
  <c r="E21" i="22"/>
  <c r="E20" i="22"/>
  <c r="I40" i="22"/>
  <c r="E27" i="22"/>
  <c r="G27" i="22"/>
  <c r="M14" i="14"/>
  <c r="M38" i="22"/>
  <c r="E30" i="22"/>
  <c r="G30" i="22"/>
  <c r="M17" i="14"/>
  <c r="P39" i="21"/>
  <c r="E23" i="22"/>
  <c r="G23" i="22"/>
  <c r="M10" i="14"/>
  <c r="E31" i="22"/>
  <c r="G31" i="22"/>
  <c r="M18" i="14"/>
  <c r="E19" i="22"/>
  <c r="R39" i="22"/>
  <c r="E33" i="22"/>
  <c r="G33" i="22"/>
  <c r="M20" i="14"/>
  <c r="E29" i="22"/>
  <c r="G29" i="22"/>
  <c r="M16" i="14"/>
  <c r="E26" i="22"/>
  <c r="G26" i="22"/>
  <c r="M13" i="14"/>
  <c r="B39" i="21"/>
  <c r="E22" i="22"/>
  <c r="E28" i="22"/>
  <c r="G28" i="22"/>
  <c r="M15" i="14"/>
  <c r="E24" i="22"/>
  <c r="G24" i="22"/>
  <c r="M11" i="14"/>
  <c r="E33" i="25"/>
  <c r="G33" i="25"/>
  <c r="E30" i="25"/>
  <c r="G30" i="25"/>
  <c r="G36" i="14"/>
  <c r="E27" i="25"/>
  <c r="G27" i="25"/>
  <c r="G33" i="14"/>
  <c r="E32" i="25"/>
  <c r="G32" i="25"/>
  <c r="G38" i="14"/>
  <c r="E21" i="25"/>
  <c r="U41" i="25"/>
  <c r="E23" i="25"/>
  <c r="G23" i="25"/>
  <c r="G29" i="14"/>
  <c r="E20" i="25"/>
  <c r="K40" i="25"/>
  <c r="E28" i="25"/>
  <c r="G28" i="25"/>
  <c r="G34" i="14"/>
  <c r="E24" i="25"/>
  <c r="G24" i="25"/>
  <c r="G30" i="14"/>
  <c r="E31" i="25"/>
  <c r="G31" i="25"/>
  <c r="G37" i="14"/>
  <c r="E19" i="25"/>
  <c r="X39" i="26"/>
  <c r="M39" i="26"/>
  <c r="U39" i="26"/>
  <c r="H39" i="26"/>
  <c r="F39" i="26"/>
  <c r="L39" i="26"/>
  <c r="Q39" i="26"/>
  <c r="G39" i="26"/>
  <c r="T39" i="26"/>
  <c r="K39" i="26"/>
  <c r="S39" i="26"/>
  <c r="O39" i="26"/>
  <c r="E39" i="26"/>
  <c r="V39" i="26"/>
  <c r="G19" i="26"/>
  <c r="J25" i="14"/>
  <c r="C39" i="26"/>
  <c r="I39" i="26"/>
  <c r="R39" i="26"/>
  <c r="D39" i="26"/>
  <c r="P39" i="26"/>
  <c r="B39" i="26"/>
  <c r="J39" i="26"/>
  <c r="W39" i="26"/>
  <c r="N39" i="26"/>
  <c r="N41" i="26"/>
  <c r="I41" i="26"/>
  <c r="F41" i="26"/>
  <c r="E41" i="26"/>
  <c r="V41" i="26"/>
  <c r="G41" i="26"/>
  <c r="T41" i="26"/>
  <c r="R41" i="26"/>
  <c r="P41" i="26"/>
  <c r="X38" i="25"/>
  <c r="T38" i="25"/>
  <c r="C38" i="25"/>
  <c r="G18" i="25"/>
  <c r="G24" i="14"/>
  <c r="L38" i="25"/>
  <c r="E38" i="25"/>
  <c r="I38" i="25"/>
  <c r="U38" i="25"/>
  <c r="D38" i="25"/>
  <c r="W38" i="25"/>
  <c r="V38" i="25"/>
  <c r="G38" i="25"/>
  <c r="S38" i="25"/>
  <c r="O38" i="25"/>
  <c r="R38" i="25"/>
  <c r="H38" i="25"/>
  <c r="F38" i="25"/>
  <c r="J38" i="25"/>
  <c r="N38" i="25"/>
  <c r="K38" i="25"/>
  <c r="P38" i="25"/>
  <c r="B38" i="25"/>
  <c r="M38" i="25"/>
  <c r="Q38" i="25"/>
  <c r="E41" i="25"/>
  <c r="R41" i="25"/>
  <c r="J41" i="27"/>
  <c r="X38" i="23"/>
  <c r="R38" i="23"/>
  <c r="S38" i="23"/>
  <c r="K38" i="23"/>
  <c r="M38" i="23"/>
  <c r="E38" i="23"/>
  <c r="I38" i="23"/>
  <c r="C38" i="23"/>
  <c r="G18" i="23"/>
  <c r="P5" i="14"/>
  <c r="P38" i="23"/>
  <c r="T38" i="23"/>
  <c r="L38" i="23"/>
  <c r="D38" i="23"/>
  <c r="B38" i="23"/>
  <c r="H38" i="23"/>
  <c r="W38" i="23"/>
  <c r="N38" i="23"/>
  <c r="J38" i="23"/>
  <c r="G38" i="23"/>
  <c r="Q38" i="23"/>
  <c r="U38" i="23"/>
  <c r="V38" i="23"/>
  <c r="O38" i="23"/>
  <c r="F38" i="23"/>
  <c r="E22" i="23"/>
  <c r="E29" i="23"/>
  <c r="G29" i="23"/>
  <c r="P16" i="14"/>
  <c r="E31" i="23"/>
  <c r="G31" i="23"/>
  <c r="P18" i="14"/>
  <c r="E20" i="23"/>
  <c r="E33" i="23"/>
  <c r="G33" i="23"/>
  <c r="P20" i="14"/>
  <c r="E24" i="23"/>
  <c r="G24" i="23"/>
  <c r="P11" i="14"/>
  <c r="E19" i="23"/>
  <c r="E30" i="23"/>
  <c r="G30" i="23"/>
  <c r="P17" i="14"/>
  <c r="E27" i="23"/>
  <c r="G27" i="23"/>
  <c r="P14" i="14"/>
  <c r="E23" i="23"/>
  <c r="G23" i="23"/>
  <c r="P10" i="14"/>
  <c r="E32" i="23"/>
  <c r="G32" i="23"/>
  <c r="P19" i="14"/>
  <c r="E21" i="23"/>
  <c r="E25" i="23"/>
  <c r="G25" i="23"/>
  <c r="P12" i="14"/>
  <c r="E28" i="23"/>
  <c r="G28" i="23"/>
  <c r="P15" i="14"/>
  <c r="E24" i="21"/>
  <c r="G24" i="21"/>
  <c r="J11" i="14"/>
  <c r="E29" i="24"/>
  <c r="G29" i="24"/>
  <c r="D35" i="14"/>
  <c r="E24" i="24"/>
  <c r="G24" i="24"/>
  <c r="D30" i="14"/>
  <c r="E32" i="24"/>
  <c r="G32" i="24"/>
  <c r="D38" i="14"/>
  <c r="X38" i="24"/>
  <c r="P38" i="24"/>
  <c r="Q38" i="24"/>
  <c r="G18" i="24"/>
  <c r="D24" i="14"/>
  <c r="B38" i="24"/>
  <c r="T38" i="24"/>
  <c r="U38" i="24"/>
  <c r="F38" i="24"/>
  <c r="D38" i="24"/>
  <c r="E38" i="24"/>
  <c r="K38" i="24"/>
  <c r="J38" i="24"/>
  <c r="I38" i="24"/>
  <c r="O38" i="24"/>
  <c r="L38" i="24"/>
  <c r="N38" i="24"/>
  <c r="S38" i="24"/>
  <c r="C38" i="24"/>
  <c r="R38" i="24"/>
  <c r="W38" i="24"/>
  <c r="G38" i="24"/>
  <c r="H38" i="24"/>
  <c r="V38" i="24"/>
  <c r="M38" i="24"/>
  <c r="E33" i="24"/>
  <c r="G33" i="24"/>
  <c r="E25" i="24"/>
  <c r="G25" i="24"/>
  <c r="D31" i="14"/>
  <c r="E21" i="24"/>
  <c r="E30" i="24"/>
  <c r="G30" i="24"/>
  <c r="D36" i="14"/>
  <c r="E31" i="24"/>
  <c r="G31" i="24"/>
  <c r="D37" i="14"/>
  <c r="E26" i="24"/>
  <c r="G26" i="24"/>
  <c r="D32" i="14"/>
  <c r="E22" i="24"/>
  <c r="E23" i="24"/>
  <c r="G23" i="24"/>
  <c r="D29" i="14"/>
  <c r="E28" i="24"/>
  <c r="G28" i="24"/>
  <c r="D34" i="14"/>
  <c r="E20" i="24"/>
  <c r="E19" i="24"/>
  <c r="E27" i="24"/>
  <c r="G27" i="24"/>
  <c r="D33" i="14"/>
  <c r="E24" i="28"/>
  <c r="G24" i="28"/>
  <c r="P30" i="14"/>
  <c r="E32" i="28"/>
  <c r="G32" i="28"/>
  <c r="P38" i="14"/>
  <c r="E21" i="28"/>
  <c r="V41" i="28"/>
  <c r="X38" i="28"/>
  <c r="C38" i="28"/>
  <c r="Q38" i="28"/>
  <c r="R38" i="28"/>
  <c r="S38" i="28"/>
  <c r="W38" i="28"/>
  <c r="L38" i="28"/>
  <c r="G18" i="28"/>
  <c r="P24" i="14"/>
  <c r="B38" i="28"/>
  <c r="G38" i="28"/>
  <c r="U38" i="28"/>
  <c r="M38" i="28"/>
  <c r="F38" i="28"/>
  <c r="K38" i="28"/>
  <c r="E38" i="28"/>
  <c r="J38" i="28"/>
  <c r="P38" i="28"/>
  <c r="N38" i="28"/>
  <c r="V38" i="28"/>
  <c r="O38" i="28"/>
  <c r="T38" i="28"/>
  <c r="D38" i="28"/>
  <c r="H38" i="28"/>
  <c r="I38" i="28"/>
  <c r="E19" i="28"/>
  <c r="E30" i="28"/>
  <c r="G30" i="28"/>
  <c r="P36" i="14"/>
  <c r="E31" i="28"/>
  <c r="G31" i="28"/>
  <c r="P37" i="14"/>
  <c r="E28" i="28"/>
  <c r="G28" i="28"/>
  <c r="P34" i="14"/>
  <c r="E20" i="28"/>
  <c r="E23" i="28"/>
  <c r="G23" i="28"/>
  <c r="P29" i="14"/>
  <c r="E22" i="28"/>
  <c r="E26" i="28"/>
  <c r="G26" i="28"/>
  <c r="P32" i="14"/>
  <c r="E27" i="28"/>
  <c r="G27" i="28"/>
  <c r="P33" i="14"/>
  <c r="E29" i="28"/>
  <c r="G29" i="28"/>
  <c r="P35" i="14"/>
  <c r="E25" i="28"/>
  <c r="G25" i="28"/>
  <c r="P31" i="14"/>
  <c r="E33" i="28"/>
  <c r="G33" i="28"/>
  <c r="D9" i="14"/>
  <c r="O41" i="28"/>
  <c r="N41" i="28"/>
  <c r="G21" i="28"/>
  <c r="P27" i="14"/>
  <c r="C41" i="28"/>
  <c r="K41" i="28"/>
  <c r="C41" i="26"/>
  <c r="B41" i="26"/>
  <c r="G21" i="26"/>
  <c r="J27" i="14"/>
  <c r="H41" i="26"/>
  <c r="S41" i="26"/>
  <c r="J41" i="26"/>
  <c r="U41" i="26"/>
  <c r="U38" i="22"/>
  <c r="N39" i="21"/>
  <c r="M39" i="21"/>
  <c r="D39" i="21"/>
  <c r="F39" i="21"/>
  <c r="G39" i="21"/>
  <c r="E39" i="21"/>
  <c r="L39" i="21"/>
  <c r="Q39" i="21"/>
  <c r="K39" i="21"/>
  <c r="U39" i="21"/>
  <c r="O39" i="21"/>
  <c r="V39" i="21"/>
  <c r="T39" i="21"/>
  <c r="I39" i="21"/>
  <c r="G19" i="21"/>
  <c r="J6" i="14"/>
  <c r="C39" i="21"/>
  <c r="J39" i="21"/>
  <c r="W39" i="21"/>
  <c r="U41" i="28"/>
  <c r="W41" i="28"/>
  <c r="S41" i="28"/>
  <c r="M41" i="28"/>
  <c r="Q41" i="28"/>
  <c r="T41" i="28"/>
  <c r="J41" i="28"/>
  <c r="L41" i="28"/>
  <c r="V41" i="25"/>
  <c r="O38" i="21"/>
  <c r="C41" i="25"/>
  <c r="G38" i="21"/>
  <c r="X38" i="21"/>
  <c r="P38" i="21"/>
  <c r="L38" i="21"/>
  <c r="N38" i="21"/>
  <c r="P40" i="25"/>
  <c r="Q38" i="21"/>
  <c r="T38" i="21"/>
  <c r="X39" i="21"/>
  <c r="H39" i="21"/>
  <c r="R41" i="28"/>
  <c r="G20" i="22"/>
  <c r="M7" i="14"/>
  <c r="Q41" i="25"/>
  <c r="U38" i="21"/>
  <c r="R38" i="21"/>
  <c r="X40" i="21"/>
  <c r="Q40" i="21"/>
  <c r="E40" i="21"/>
  <c r="O40" i="21"/>
  <c r="G20" i="21"/>
  <c r="J7" i="14"/>
  <c r="M40" i="21"/>
  <c r="I40" i="21"/>
  <c r="H40" i="21"/>
  <c r="G40" i="21"/>
  <c r="D40" i="21"/>
  <c r="R40" i="21"/>
  <c r="J40" i="21"/>
  <c r="V40" i="21"/>
  <c r="P40" i="21"/>
  <c r="C40" i="21"/>
  <c r="S40" i="21"/>
  <c r="S41" i="21"/>
  <c r="S54" i="21"/>
  <c r="S57" i="21"/>
  <c r="L40" i="21"/>
  <c r="K40" i="21"/>
  <c r="B40" i="21"/>
  <c r="N40" i="21"/>
  <c r="U40" i="21"/>
  <c r="W40" i="21"/>
  <c r="T40" i="21"/>
  <c r="R40" i="22"/>
  <c r="G18" i="21"/>
  <c r="J5" i="14"/>
  <c r="X41" i="21"/>
  <c r="D41" i="21"/>
  <c r="P41" i="21"/>
  <c r="N41" i="21"/>
  <c r="Q41" i="21"/>
  <c r="J41" i="21"/>
  <c r="B41" i="21"/>
  <c r="G21" i="21"/>
  <c r="J8" i="14"/>
  <c r="V41" i="21"/>
  <c r="M41" i="21"/>
  <c r="G41" i="21"/>
  <c r="E41" i="21"/>
  <c r="U41" i="21"/>
  <c r="K41" i="21"/>
  <c r="I41" i="21"/>
  <c r="T41" i="21"/>
  <c r="C41" i="21"/>
  <c r="H41" i="21"/>
  <c r="O41" i="21"/>
  <c r="R41" i="21"/>
  <c r="L41" i="21"/>
  <c r="F41" i="21"/>
  <c r="W41" i="21"/>
  <c r="J40" i="22"/>
  <c r="J38" i="21"/>
  <c r="J54" i="21"/>
  <c r="J57" i="21"/>
  <c r="W38" i="21"/>
  <c r="F38" i="21"/>
  <c r="F54" i="21"/>
  <c r="F57" i="21"/>
  <c r="C38" i="21"/>
  <c r="F41" i="28"/>
  <c r="M38" i="21"/>
  <c r="M54" i="21"/>
  <c r="M57" i="21"/>
  <c r="D38" i="21"/>
  <c r="E38" i="21"/>
  <c r="H38" i="21"/>
  <c r="K38" i="21"/>
  <c r="I38" i="21"/>
  <c r="V38" i="21"/>
  <c r="B40" i="22"/>
  <c r="B38" i="21"/>
  <c r="B54" i="21"/>
  <c r="B57" i="21"/>
  <c r="G41" i="27"/>
  <c r="G22" i="28"/>
  <c r="P28" i="14"/>
  <c r="X42" i="28"/>
  <c r="N42" i="28"/>
  <c r="M42" i="28"/>
  <c r="B42" i="28"/>
  <c r="C42" i="28"/>
  <c r="G42" i="28"/>
  <c r="H42" i="28"/>
  <c r="Q42" i="28"/>
  <c r="F42" i="28"/>
  <c r="K42" i="28"/>
  <c r="S42" i="28"/>
  <c r="R42" i="28"/>
  <c r="P42" i="28"/>
  <c r="U42" i="28"/>
  <c r="J42" i="28"/>
  <c r="T42" i="28"/>
  <c r="O42" i="28"/>
  <c r="V42" i="28"/>
  <c r="L42" i="28"/>
  <c r="E42" i="28"/>
  <c r="D42" i="28"/>
  <c r="I42" i="28"/>
  <c r="W42" i="28"/>
  <c r="B41" i="27"/>
  <c r="O41" i="27"/>
  <c r="G22" i="26"/>
  <c r="J28" i="14"/>
  <c r="X42" i="26"/>
  <c r="L42" i="26"/>
  <c r="K42" i="26"/>
  <c r="F42" i="26"/>
  <c r="U42" i="26"/>
  <c r="V42" i="26"/>
  <c r="G42" i="26"/>
  <c r="P42" i="26"/>
  <c r="B42" i="26"/>
  <c r="T42" i="26"/>
  <c r="N42" i="26"/>
  <c r="D42" i="26"/>
  <c r="O42" i="26"/>
  <c r="E42" i="26"/>
  <c r="C42" i="26"/>
  <c r="H42" i="26"/>
  <c r="I42" i="26"/>
  <c r="Q42" i="26"/>
  <c r="S42" i="26"/>
  <c r="M42" i="26"/>
  <c r="J42" i="26"/>
  <c r="R42" i="26"/>
  <c r="W42" i="26"/>
  <c r="T41" i="27"/>
  <c r="F41" i="27"/>
  <c r="R41" i="27"/>
  <c r="K41" i="27"/>
  <c r="X41" i="27"/>
  <c r="H41" i="27"/>
  <c r="E41" i="27"/>
  <c r="C41" i="27"/>
  <c r="Q41" i="27"/>
  <c r="G21" i="27"/>
  <c r="M27" i="14"/>
  <c r="G22" i="27"/>
  <c r="M28" i="14"/>
  <c r="X42" i="27"/>
  <c r="H42" i="27"/>
  <c r="R42" i="27"/>
  <c r="L42" i="27"/>
  <c r="I42" i="27"/>
  <c r="M42" i="27"/>
  <c r="V42" i="27"/>
  <c r="K42" i="27"/>
  <c r="C42" i="27"/>
  <c r="Q42" i="27"/>
  <c r="B42" i="27"/>
  <c r="J42" i="27"/>
  <c r="S42" i="27"/>
  <c r="D42" i="27"/>
  <c r="G42" i="27"/>
  <c r="U42" i="27"/>
  <c r="F42" i="27"/>
  <c r="T42" i="27"/>
  <c r="N42" i="27"/>
  <c r="P42" i="27"/>
  <c r="E42" i="27"/>
  <c r="O42" i="27"/>
  <c r="W42" i="27"/>
  <c r="G22" i="25"/>
  <c r="G28" i="14"/>
  <c r="X42" i="25"/>
  <c r="J42" i="25"/>
  <c r="E42" i="25"/>
  <c r="Q42" i="25"/>
  <c r="L42" i="25"/>
  <c r="M42" i="25"/>
  <c r="G42" i="25"/>
  <c r="O42" i="25"/>
  <c r="I42" i="25"/>
  <c r="K42" i="25"/>
  <c r="P42" i="25"/>
  <c r="T42" i="25"/>
  <c r="F42" i="25"/>
  <c r="H42" i="25"/>
  <c r="S42" i="25"/>
  <c r="N42" i="25"/>
  <c r="C42" i="25"/>
  <c r="U42" i="25"/>
  <c r="B42" i="25"/>
  <c r="W42" i="25"/>
  <c r="R42" i="25"/>
  <c r="V42" i="25"/>
  <c r="D42" i="25"/>
  <c r="I41" i="27"/>
  <c r="U41" i="27"/>
  <c r="P41" i="27"/>
  <c r="V41" i="27"/>
  <c r="D41" i="27"/>
  <c r="G22" i="24"/>
  <c r="D28" i="14"/>
  <c r="X42" i="24"/>
  <c r="G42" i="24"/>
  <c r="M42" i="24"/>
  <c r="V42" i="24"/>
  <c r="T42" i="24"/>
  <c r="K42" i="24"/>
  <c r="Q42" i="24"/>
  <c r="B42" i="24"/>
  <c r="U42" i="24"/>
  <c r="F42" i="24"/>
  <c r="C42" i="24"/>
  <c r="L42" i="24"/>
  <c r="J42" i="24"/>
  <c r="D42" i="24"/>
  <c r="E42" i="24"/>
  <c r="O42" i="24"/>
  <c r="W42" i="24"/>
  <c r="I42" i="24"/>
  <c r="S42" i="24"/>
  <c r="N42" i="24"/>
  <c r="H42" i="24"/>
  <c r="R42" i="24"/>
  <c r="P42" i="24"/>
  <c r="G22" i="22"/>
  <c r="M9" i="14"/>
  <c r="X42" i="22"/>
  <c r="B42" i="22"/>
  <c r="L42" i="22"/>
  <c r="C42" i="22"/>
  <c r="W42" i="22"/>
  <c r="S42" i="22"/>
  <c r="U42" i="22"/>
  <c r="P42" i="22"/>
  <c r="Q42" i="22"/>
  <c r="J42" i="22"/>
  <c r="N42" i="22"/>
  <c r="I42" i="22"/>
  <c r="D42" i="22"/>
  <c r="K42" i="22"/>
  <c r="F42" i="22"/>
  <c r="E42" i="22"/>
  <c r="G42" i="22"/>
  <c r="R42" i="22"/>
  <c r="V42" i="22"/>
  <c r="M42" i="22"/>
  <c r="T42" i="22"/>
  <c r="O42" i="22"/>
  <c r="H42" i="22"/>
  <c r="G22" i="23"/>
  <c r="P9" i="14"/>
  <c r="X42" i="23"/>
  <c r="S42" i="23"/>
  <c r="I42" i="23"/>
  <c r="T42" i="23"/>
  <c r="O42" i="23"/>
  <c r="W42" i="23"/>
  <c r="V42" i="23"/>
  <c r="Q42" i="23"/>
  <c r="K42" i="23"/>
  <c r="U42" i="23"/>
  <c r="E42" i="23"/>
  <c r="J42" i="23"/>
  <c r="D42" i="23"/>
  <c r="N42" i="23"/>
  <c r="B42" i="23"/>
  <c r="C42" i="23"/>
  <c r="P42" i="23"/>
  <c r="F42" i="23"/>
  <c r="L42" i="23"/>
  <c r="G42" i="23"/>
  <c r="R42" i="23"/>
  <c r="H42" i="23"/>
  <c r="M42" i="23"/>
  <c r="X38" i="22"/>
  <c r="C38" i="22"/>
  <c r="B38" i="22"/>
  <c r="P38" i="22"/>
  <c r="G38" i="22"/>
  <c r="T40" i="22"/>
  <c r="E40" i="22"/>
  <c r="P41" i="25"/>
  <c r="K41" i="25"/>
  <c r="G41" i="25"/>
  <c r="G20" i="25"/>
  <c r="G26" i="14"/>
  <c r="G21" i="22"/>
  <c r="M8" i="14"/>
  <c r="X41" i="22"/>
  <c r="O41" i="22"/>
  <c r="P41" i="22"/>
  <c r="G41" i="22"/>
  <c r="M41" i="22"/>
  <c r="C41" i="22"/>
  <c r="Q41" i="22"/>
  <c r="D41" i="22"/>
  <c r="W41" i="22"/>
  <c r="K41" i="22"/>
  <c r="H41" i="22"/>
  <c r="V41" i="22"/>
  <c r="N41" i="22"/>
  <c r="E41" i="22"/>
  <c r="F41" i="22"/>
  <c r="U41" i="22"/>
  <c r="J41" i="22"/>
  <c r="R41" i="22"/>
  <c r="S41" i="22"/>
  <c r="T41" i="22"/>
  <c r="L41" i="22"/>
  <c r="I41" i="22"/>
  <c r="B41" i="22"/>
  <c r="O40" i="22"/>
  <c r="K40" i="22"/>
  <c r="N40" i="22"/>
  <c r="T41" i="25"/>
  <c r="T40" i="25"/>
  <c r="B41" i="25"/>
  <c r="W38" i="22"/>
  <c r="J38" i="22"/>
  <c r="X38" i="26"/>
  <c r="N38" i="26"/>
  <c r="O38" i="26"/>
  <c r="T38" i="26"/>
  <c r="Q38" i="26"/>
  <c r="U38" i="26"/>
  <c r="K38" i="26"/>
  <c r="R38" i="26"/>
  <c r="B38" i="26"/>
  <c r="I38" i="26"/>
  <c r="W38" i="26"/>
  <c r="P38" i="26"/>
  <c r="L38" i="26"/>
  <c r="G18" i="26"/>
  <c r="J24" i="14"/>
  <c r="S38" i="26"/>
  <c r="D38" i="26"/>
  <c r="G38" i="26"/>
  <c r="J38" i="26"/>
  <c r="E38" i="26"/>
  <c r="M38" i="26"/>
  <c r="H38" i="26"/>
  <c r="C38" i="26"/>
  <c r="V38" i="26"/>
  <c r="F38" i="26"/>
  <c r="X40" i="26"/>
  <c r="K40" i="26"/>
  <c r="W40" i="26"/>
  <c r="T40" i="26"/>
  <c r="F40" i="26"/>
  <c r="U40" i="26"/>
  <c r="O40" i="26"/>
  <c r="C40" i="26"/>
  <c r="E40" i="26"/>
  <c r="P40" i="26"/>
  <c r="R40" i="26"/>
  <c r="V40" i="26"/>
  <c r="G20" i="26"/>
  <c r="J26" i="14"/>
  <c r="S40" i="26"/>
  <c r="D40" i="26"/>
  <c r="Q40" i="26"/>
  <c r="H40" i="26"/>
  <c r="G40" i="26"/>
  <c r="I40" i="26"/>
  <c r="J40" i="26"/>
  <c r="B40" i="26"/>
  <c r="N40" i="26"/>
  <c r="M40" i="26"/>
  <c r="G21" i="25"/>
  <c r="G27" i="14"/>
  <c r="J41" i="25"/>
  <c r="I38" i="22"/>
  <c r="L38" i="22"/>
  <c r="O38" i="22"/>
  <c r="L41" i="27"/>
  <c r="W41" i="27"/>
  <c r="N41" i="27"/>
  <c r="M41" i="27"/>
  <c r="E38" i="22"/>
  <c r="S40" i="22"/>
  <c r="F41" i="25"/>
  <c r="E41" i="28"/>
  <c r="B41" i="28"/>
  <c r="G41" i="28"/>
  <c r="Q39" i="22"/>
  <c r="H40" i="22"/>
  <c r="C40" i="22"/>
  <c r="G21" i="23"/>
  <c r="P8" i="14"/>
  <c r="X41" i="23"/>
  <c r="R41" i="23"/>
  <c r="K41" i="23"/>
  <c r="U41" i="23"/>
  <c r="V41" i="23"/>
  <c r="P41" i="23"/>
  <c r="F41" i="23"/>
  <c r="W41" i="23"/>
  <c r="G41" i="23"/>
  <c r="B41" i="23"/>
  <c r="T41" i="23"/>
  <c r="E41" i="23"/>
  <c r="J41" i="23"/>
  <c r="L41" i="23"/>
  <c r="H41" i="23"/>
  <c r="O41" i="23"/>
  <c r="D41" i="23"/>
  <c r="N41" i="23"/>
  <c r="S41" i="23"/>
  <c r="I41" i="23"/>
  <c r="C41" i="23"/>
  <c r="M41" i="23"/>
  <c r="Q41" i="23"/>
  <c r="I41" i="25"/>
  <c r="N41" i="25"/>
  <c r="D38" i="22"/>
  <c r="V38" i="22"/>
  <c r="G18" i="22"/>
  <c r="M5" i="14"/>
  <c r="T38" i="22"/>
  <c r="X38" i="27"/>
  <c r="I38" i="27"/>
  <c r="S38" i="27"/>
  <c r="D38" i="27"/>
  <c r="C38" i="27"/>
  <c r="F38" i="27"/>
  <c r="N38" i="27"/>
  <c r="W38" i="27"/>
  <c r="H38" i="27"/>
  <c r="K38" i="27"/>
  <c r="T38" i="27"/>
  <c r="R38" i="27"/>
  <c r="L38" i="27"/>
  <c r="M38" i="27"/>
  <c r="V38" i="27"/>
  <c r="Q38" i="27"/>
  <c r="G18" i="27"/>
  <c r="M24" i="14"/>
  <c r="E38" i="27"/>
  <c r="B38" i="27"/>
  <c r="G38" i="27"/>
  <c r="U38" i="27"/>
  <c r="J38" i="27"/>
  <c r="P38" i="27"/>
  <c r="O38" i="27"/>
  <c r="B39" i="22"/>
  <c r="V40" i="22"/>
  <c r="I41" i="28"/>
  <c r="U40" i="22"/>
  <c r="U39" i="22"/>
  <c r="D39" i="22"/>
  <c r="O41" i="25"/>
  <c r="M41" i="25"/>
  <c r="H41" i="25"/>
  <c r="Q38" i="22"/>
  <c r="N38" i="22"/>
  <c r="H38" i="22"/>
  <c r="K39" i="22"/>
  <c r="K38" i="22"/>
  <c r="N39" i="22"/>
  <c r="X41" i="28"/>
  <c r="P41" i="28"/>
  <c r="H41" i="28"/>
  <c r="D41" i="28"/>
  <c r="D40" i="22"/>
  <c r="W41" i="25"/>
  <c r="D41" i="25"/>
  <c r="R38" i="22"/>
  <c r="S38" i="22"/>
  <c r="X41" i="26"/>
  <c r="L41" i="26"/>
  <c r="O41" i="26"/>
  <c r="M41" i="26"/>
  <c r="W41" i="26"/>
  <c r="K41" i="26"/>
  <c r="Q41" i="26"/>
  <c r="X39" i="22"/>
  <c r="T39" i="22"/>
  <c r="S39" i="22"/>
  <c r="E39" i="22"/>
  <c r="G19" i="22"/>
  <c r="M6" i="14"/>
  <c r="H39" i="22"/>
  <c r="M39" i="22"/>
  <c r="L39" i="22"/>
  <c r="W39" i="22"/>
  <c r="O39" i="22"/>
  <c r="J39" i="22"/>
  <c r="G39" i="22"/>
  <c r="P39" i="22"/>
  <c r="F39" i="22"/>
  <c r="V39" i="22"/>
  <c r="I39" i="22"/>
  <c r="C39" i="22"/>
  <c r="X40" i="22"/>
  <c r="P40" i="22"/>
  <c r="L40" i="22"/>
  <c r="F40" i="22"/>
  <c r="M40" i="22"/>
  <c r="Q40" i="22"/>
  <c r="G40" i="22"/>
  <c r="W40" i="22"/>
  <c r="X40" i="25"/>
  <c r="I40" i="25"/>
  <c r="R40" i="25"/>
  <c r="H40" i="25"/>
  <c r="W40" i="25"/>
  <c r="U40" i="25"/>
  <c r="B40" i="25"/>
  <c r="F40" i="25"/>
  <c r="J40" i="25"/>
  <c r="O40" i="25"/>
  <c r="X41" i="25"/>
  <c r="S41" i="25"/>
  <c r="L41" i="25"/>
  <c r="D40" i="25"/>
  <c r="N40" i="25"/>
  <c r="X39" i="25"/>
  <c r="G39" i="25"/>
  <c r="D39" i="25"/>
  <c r="G19" i="25"/>
  <c r="G25" i="14"/>
  <c r="M39" i="25"/>
  <c r="E39" i="25"/>
  <c r="V39" i="25"/>
  <c r="Q39" i="25"/>
  <c r="S39" i="25"/>
  <c r="O39" i="25"/>
  <c r="H39" i="25"/>
  <c r="L39" i="25"/>
  <c r="F39" i="25"/>
  <c r="B39" i="25"/>
  <c r="U39" i="25"/>
  <c r="J39" i="25"/>
  <c r="R39" i="25"/>
  <c r="W39" i="25"/>
  <c r="N39" i="25"/>
  <c r="I39" i="25"/>
  <c r="T39" i="25"/>
  <c r="P39" i="25"/>
  <c r="K39" i="25"/>
  <c r="C39" i="25"/>
  <c r="M40" i="25"/>
  <c r="L40" i="25"/>
  <c r="Q40" i="25"/>
  <c r="V40" i="25"/>
  <c r="G40" i="25"/>
  <c r="S40" i="25"/>
  <c r="E40" i="25"/>
  <c r="C40" i="25"/>
  <c r="X39" i="23"/>
  <c r="Q39" i="23"/>
  <c r="M39" i="23"/>
  <c r="C39" i="23"/>
  <c r="B39" i="23"/>
  <c r="J39" i="23"/>
  <c r="K39" i="23"/>
  <c r="S39" i="23"/>
  <c r="E39" i="23"/>
  <c r="D39" i="23"/>
  <c r="P39" i="23"/>
  <c r="G39" i="23"/>
  <c r="L39" i="23"/>
  <c r="W39" i="23"/>
  <c r="R39" i="23"/>
  <c r="F39" i="23"/>
  <c r="U39" i="23"/>
  <c r="V39" i="23"/>
  <c r="T39" i="23"/>
  <c r="N39" i="23"/>
  <c r="I39" i="23"/>
  <c r="G19" i="23"/>
  <c r="P6" i="14"/>
  <c r="O39" i="23"/>
  <c r="H39" i="23"/>
  <c r="X40" i="23"/>
  <c r="J40" i="23"/>
  <c r="G20" i="23"/>
  <c r="P7" i="14"/>
  <c r="F40" i="23"/>
  <c r="D40" i="23"/>
  <c r="V40" i="23"/>
  <c r="H40" i="23"/>
  <c r="O40" i="23"/>
  <c r="T40" i="23"/>
  <c r="C40" i="23"/>
  <c r="Q40" i="23"/>
  <c r="U40" i="23"/>
  <c r="S40" i="23"/>
  <c r="B40" i="23"/>
  <c r="E40" i="23"/>
  <c r="I40" i="23"/>
  <c r="G40" i="23"/>
  <c r="P40" i="23"/>
  <c r="L40" i="23"/>
  <c r="W40" i="23"/>
  <c r="M40" i="23"/>
  <c r="K40" i="23"/>
  <c r="N40" i="23"/>
  <c r="R40" i="23"/>
  <c r="X39" i="24"/>
  <c r="G39" i="24"/>
  <c r="N39" i="24"/>
  <c r="E39" i="24"/>
  <c r="V39" i="24"/>
  <c r="R39" i="24"/>
  <c r="F39" i="24"/>
  <c r="D39" i="24"/>
  <c r="P39" i="24"/>
  <c r="O39" i="24"/>
  <c r="T39" i="24"/>
  <c r="C39" i="24"/>
  <c r="B39" i="24"/>
  <c r="M39" i="24"/>
  <c r="G19" i="24"/>
  <c r="D25" i="14"/>
  <c r="H39" i="24"/>
  <c r="W39" i="24"/>
  <c r="J39" i="24"/>
  <c r="U39" i="24"/>
  <c r="Q39" i="24"/>
  <c r="L39" i="24"/>
  <c r="S39" i="24"/>
  <c r="I39" i="24"/>
  <c r="K39" i="24"/>
  <c r="X41" i="24"/>
  <c r="Q41" i="24"/>
  <c r="R41" i="24"/>
  <c r="V41" i="24"/>
  <c r="D41" i="24"/>
  <c r="H41" i="24"/>
  <c r="W41" i="24"/>
  <c r="I41" i="24"/>
  <c r="P41" i="24"/>
  <c r="N41" i="24"/>
  <c r="O41" i="24"/>
  <c r="G41" i="24"/>
  <c r="S41" i="24"/>
  <c r="E41" i="24"/>
  <c r="F41" i="24"/>
  <c r="J41" i="24"/>
  <c r="L41" i="24"/>
  <c r="T41" i="24"/>
  <c r="U41" i="24"/>
  <c r="G21" i="24"/>
  <c r="D27" i="14"/>
  <c r="B41" i="24"/>
  <c r="C41" i="24"/>
  <c r="K41" i="24"/>
  <c r="M41" i="24"/>
  <c r="X40" i="24"/>
  <c r="R40" i="24"/>
  <c r="P40" i="24"/>
  <c r="M40" i="24"/>
  <c r="W40" i="24"/>
  <c r="G40" i="24"/>
  <c r="V40" i="24"/>
  <c r="T40" i="24"/>
  <c r="B40" i="24"/>
  <c r="H40" i="24"/>
  <c r="C40" i="24"/>
  <c r="F40" i="24"/>
  <c r="D40" i="24"/>
  <c r="J40" i="24"/>
  <c r="Q40" i="24"/>
  <c r="G20" i="24"/>
  <c r="D26" i="14"/>
  <c r="E40" i="24"/>
  <c r="O40" i="24"/>
  <c r="U40" i="24"/>
  <c r="K40" i="24"/>
  <c r="I40" i="24"/>
  <c r="S40" i="24"/>
  <c r="L40" i="24"/>
  <c r="N40" i="24"/>
  <c r="X39" i="28"/>
  <c r="I39" i="28"/>
  <c r="W39" i="28"/>
  <c r="Q39" i="28"/>
  <c r="U39" i="28"/>
  <c r="S39" i="28"/>
  <c r="R39" i="28"/>
  <c r="L39" i="28"/>
  <c r="N39" i="28"/>
  <c r="P39" i="28"/>
  <c r="T39" i="28"/>
  <c r="D39" i="28"/>
  <c r="V39" i="28"/>
  <c r="C39" i="28"/>
  <c r="H39" i="28"/>
  <c r="B39" i="28"/>
  <c r="G39" i="28"/>
  <c r="J39" i="28"/>
  <c r="G19" i="28"/>
  <c r="P25" i="14"/>
  <c r="M39" i="28"/>
  <c r="F39" i="28"/>
  <c r="K39" i="28"/>
  <c r="O39" i="28"/>
  <c r="E39" i="28"/>
  <c r="X40" i="28"/>
  <c r="F40" i="28"/>
  <c r="P40" i="28"/>
  <c r="L40" i="28"/>
  <c r="D40" i="28"/>
  <c r="C40" i="28"/>
  <c r="G40" i="28"/>
  <c r="J40" i="28"/>
  <c r="T40" i="28"/>
  <c r="O40" i="28"/>
  <c r="G20" i="28"/>
  <c r="P26" i="14"/>
  <c r="K40" i="28"/>
  <c r="E40" i="28"/>
  <c r="S40" i="28"/>
  <c r="M40" i="28"/>
  <c r="H40" i="28"/>
  <c r="V40" i="28"/>
  <c r="N40" i="28"/>
  <c r="B40" i="28"/>
  <c r="I40" i="28"/>
  <c r="W40" i="28"/>
  <c r="U40" i="28"/>
  <c r="R40" i="28"/>
  <c r="Q40" i="28"/>
  <c r="D11" i="14"/>
  <c r="G54" i="27"/>
  <c r="G57" i="27"/>
  <c r="D54" i="27"/>
  <c r="D57" i="27"/>
  <c r="W54" i="21"/>
  <c r="W57" i="21"/>
  <c r="G54" i="21"/>
  <c r="G57" i="21"/>
  <c r="Q54" i="21"/>
  <c r="Q57" i="21"/>
  <c r="I54" i="21"/>
  <c r="I57" i="21"/>
  <c r="P54" i="21"/>
  <c r="P57" i="21"/>
  <c r="V54" i="21"/>
  <c r="V57" i="21"/>
  <c r="U54" i="21"/>
  <c r="U57" i="21"/>
  <c r="E54" i="21"/>
  <c r="E57" i="21"/>
  <c r="K54" i="21"/>
  <c r="K57" i="21"/>
  <c r="T54" i="21"/>
  <c r="T57" i="21"/>
  <c r="C54" i="21"/>
  <c r="C57" i="21"/>
  <c r="J54" i="27"/>
  <c r="J57" i="27"/>
  <c r="E54" i="27"/>
  <c r="E57" i="27"/>
  <c r="T54" i="27"/>
  <c r="T57" i="27"/>
  <c r="O54" i="21"/>
  <c r="O57" i="21"/>
  <c r="D54" i="21"/>
  <c r="D57" i="21"/>
  <c r="R54" i="21"/>
  <c r="R57" i="21"/>
  <c r="N54" i="21"/>
  <c r="N57" i="21"/>
  <c r="X54" i="21"/>
  <c r="X57" i="21"/>
  <c r="O54" i="27"/>
  <c r="O57" i="27"/>
  <c r="L54" i="21"/>
  <c r="L57" i="21"/>
  <c r="H54" i="21"/>
  <c r="H57" i="21"/>
  <c r="R54" i="27"/>
  <c r="R57" i="27"/>
  <c r="L54" i="26"/>
  <c r="L57" i="26"/>
  <c r="K54" i="27"/>
  <c r="K57" i="27"/>
  <c r="I54" i="27"/>
  <c r="I57" i="27"/>
  <c r="B54" i="24"/>
  <c r="B57" i="24"/>
  <c r="F54" i="27"/>
  <c r="F57" i="27"/>
  <c r="S54" i="27"/>
  <c r="S57" i="27"/>
  <c r="P54" i="27"/>
  <c r="P57" i="27"/>
  <c r="H54" i="27"/>
  <c r="H57" i="27"/>
  <c r="X54" i="27"/>
  <c r="X57" i="27"/>
  <c r="B54" i="27"/>
  <c r="B57" i="27"/>
  <c r="Q54" i="27"/>
  <c r="Q57" i="27"/>
  <c r="K54" i="25"/>
  <c r="K57" i="25"/>
  <c r="U54" i="25"/>
  <c r="U57" i="25"/>
  <c r="V54" i="27"/>
  <c r="V57" i="27"/>
  <c r="W54" i="26"/>
  <c r="W57" i="26"/>
  <c r="P54" i="25"/>
  <c r="P57" i="25"/>
  <c r="T54" i="25"/>
  <c r="T57" i="25"/>
  <c r="U54" i="27"/>
  <c r="U57" i="27"/>
  <c r="C54" i="27"/>
  <c r="C57" i="27"/>
  <c r="C54" i="26"/>
  <c r="C57" i="26"/>
  <c r="J54" i="25"/>
  <c r="J57" i="25"/>
  <c r="X54" i="25"/>
  <c r="X57" i="25"/>
  <c r="F54" i="26"/>
  <c r="F57" i="26"/>
  <c r="I54" i="22"/>
  <c r="I57" i="22"/>
  <c r="X54" i="23"/>
  <c r="X57" i="23"/>
  <c r="C54" i="22"/>
  <c r="C57" i="22"/>
  <c r="R54" i="22"/>
  <c r="R57" i="22"/>
  <c r="D54" i="23"/>
  <c r="D57" i="23"/>
  <c r="T54" i="22"/>
  <c r="T57" i="22"/>
  <c r="X54" i="28"/>
  <c r="X57" i="28"/>
  <c r="Q54" i="23"/>
  <c r="Q57" i="23"/>
  <c r="E54" i="25"/>
  <c r="E57" i="25"/>
  <c r="Q54" i="26"/>
  <c r="Q57" i="26"/>
  <c r="T54" i="26"/>
  <c r="T57" i="26"/>
  <c r="O54" i="26"/>
  <c r="O57" i="26"/>
  <c r="I54" i="28"/>
  <c r="I57" i="28"/>
  <c r="H54" i="26"/>
  <c r="H57" i="26"/>
  <c r="E54" i="26"/>
  <c r="E57" i="26"/>
  <c r="F54" i="25"/>
  <c r="F57" i="25"/>
  <c r="U54" i="22"/>
  <c r="U57" i="22"/>
  <c r="R54" i="26"/>
  <c r="R57" i="26"/>
  <c r="S54" i="22"/>
  <c r="S57" i="22"/>
  <c r="B54" i="22"/>
  <c r="B57" i="22"/>
  <c r="B54" i="26"/>
  <c r="B57" i="26"/>
  <c r="W54" i="27"/>
  <c r="W57" i="27"/>
  <c r="M54" i="27"/>
  <c r="M57" i="27"/>
  <c r="S54" i="26"/>
  <c r="S57" i="26"/>
  <c r="V54" i="26"/>
  <c r="V57" i="26"/>
  <c r="O54" i="22"/>
  <c r="O57" i="22"/>
  <c r="G54" i="26"/>
  <c r="G57" i="26"/>
  <c r="K54" i="22"/>
  <c r="K57" i="22"/>
  <c r="W54" i="28"/>
  <c r="W57" i="28"/>
  <c r="K54" i="26"/>
  <c r="K57" i="26"/>
  <c r="N54" i="26"/>
  <c r="N57" i="26"/>
  <c r="O54" i="24"/>
  <c r="O57" i="24"/>
  <c r="J54" i="22"/>
  <c r="J57" i="22"/>
  <c r="N54" i="22"/>
  <c r="N57" i="22"/>
  <c r="B54" i="28"/>
  <c r="B57" i="28"/>
  <c r="Q54" i="25"/>
  <c r="Q57" i="25"/>
  <c r="J54" i="26"/>
  <c r="J57" i="26"/>
  <c r="I54" i="26"/>
  <c r="I57" i="26"/>
  <c r="D54" i="25"/>
  <c r="D57" i="25"/>
  <c r="N54" i="28"/>
  <c r="N57" i="28"/>
  <c r="O54" i="28"/>
  <c r="O57" i="28"/>
  <c r="G54" i="25"/>
  <c r="G57" i="25"/>
  <c r="V54" i="22"/>
  <c r="V57" i="22"/>
  <c r="M54" i="26"/>
  <c r="M57" i="26"/>
  <c r="P54" i="26"/>
  <c r="P57" i="26"/>
  <c r="C54" i="28"/>
  <c r="C57" i="28"/>
  <c r="B54" i="25"/>
  <c r="B57" i="25"/>
  <c r="H54" i="22"/>
  <c r="H57" i="22"/>
  <c r="D54" i="26"/>
  <c r="D57" i="26"/>
  <c r="D54" i="22"/>
  <c r="D57" i="22"/>
  <c r="D54" i="28"/>
  <c r="D57" i="28"/>
  <c r="M54" i="25"/>
  <c r="M57" i="25"/>
  <c r="W54" i="25"/>
  <c r="W57" i="25"/>
  <c r="U54" i="26"/>
  <c r="U57" i="26"/>
  <c r="P54" i="28"/>
  <c r="P57" i="28"/>
  <c r="G54" i="22"/>
  <c r="G57" i="22"/>
  <c r="E54" i="22"/>
  <c r="E57" i="22"/>
  <c r="I54" i="25"/>
  <c r="I57" i="25"/>
  <c r="L54" i="25"/>
  <c r="L57" i="25"/>
  <c r="H54" i="25"/>
  <c r="H57" i="25"/>
  <c r="Q54" i="22"/>
  <c r="Q57" i="22"/>
  <c r="W54" i="23"/>
  <c r="W57" i="23"/>
  <c r="K54" i="28"/>
  <c r="K57" i="28"/>
  <c r="E54" i="24"/>
  <c r="E57" i="24"/>
  <c r="O54" i="25"/>
  <c r="O57" i="25"/>
  <c r="L54" i="22"/>
  <c r="L57" i="22"/>
  <c r="X54" i="26"/>
  <c r="X57" i="26"/>
  <c r="V54" i="25"/>
  <c r="V57" i="25"/>
  <c r="S54" i="28"/>
  <c r="S57" i="28"/>
  <c r="E54" i="28"/>
  <c r="E57" i="28"/>
  <c r="L54" i="28"/>
  <c r="L57" i="28"/>
  <c r="C54" i="23"/>
  <c r="C57" i="23"/>
  <c r="J54" i="23"/>
  <c r="J57" i="23"/>
  <c r="V54" i="23"/>
  <c r="V57" i="23"/>
  <c r="R54" i="25"/>
  <c r="R57" i="25"/>
  <c r="S54" i="25"/>
  <c r="S57" i="25"/>
  <c r="N54" i="27"/>
  <c r="N57" i="27"/>
  <c r="L54" i="27"/>
  <c r="L57" i="27"/>
  <c r="H54" i="28"/>
  <c r="H57" i="28"/>
  <c r="R54" i="28"/>
  <c r="R57" i="28"/>
  <c r="Q54" i="24"/>
  <c r="Q57" i="24"/>
  <c r="C54" i="25"/>
  <c r="C57" i="25"/>
  <c r="N54" i="25"/>
  <c r="N57" i="25"/>
  <c r="P54" i="23"/>
  <c r="P57" i="23"/>
  <c r="W54" i="22"/>
  <c r="W57" i="22"/>
  <c r="X54" i="22"/>
  <c r="X57" i="22"/>
  <c r="M54" i="22"/>
  <c r="M57" i="22"/>
  <c r="F54" i="22"/>
  <c r="F57" i="22"/>
  <c r="U54" i="23"/>
  <c r="U57" i="23"/>
  <c r="P54" i="22"/>
  <c r="P57" i="22"/>
  <c r="E54" i="23"/>
  <c r="E57" i="23"/>
  <c r="H54" i="23"/>
  <c r="H57" i="23"/>
  <c r="F54" i="23"/>
  <c r="F57" i="23"/>
  <c r="S54" i="23"/>
  <c r="S57" i="23"/>
  <c r="O54" i="23"/>
  <c r="O57" i="23"/>
  <c r="R54" i="23"/>
  <c r="R57" i="23"/>
  <c r="K54" i="23"/>
  <c r="K57" i="23"/>
  <c r="I54" i="23"/>
  <c r="I57" i="23"/>
  <c r="L54" i="23"/>
  <c r="L57" i="23"/>
  <c r="B54" i="23"/>
  <c r="B57" i="23"/>
  <c r="N54" i="23"/>
  <c r="N57" i="23"/>
  <c r="G54" i="23"/>
  <c r="G57" i="23"/>
  <c r="T54" i="23"/>
  <c r="T57" i="23"/>
  <c r="M54" i="23"/>
  <c r="M57" i="23"/>
  <c r="D54" i="24"/>
  <c r="D57" i="24"/>
  <c r="C54" i="24"/>
  <c r="C57" i="24"/>
  <c r="R54" i="24"/>
  <c r="R57" i="24"/>
  <c r="S54" i="24"/>
  <c r="S57" i="24"/>
  <c r="I54" i="24"/>
  <c r="I57" i="24"/>
  <c r="M54" i="24"/>
  <c r="M57" i="24"/>
  <c r="L54" i="24"/>
  <c r="L57" i="24"/>
  <c r="H54" i="24"/>
  <c r="H57" i="24"/>
  <c r="U54" i="24"/>
  <c r="U57" i="24"/>
  <c r="N54" i="24"/>
  <c r="N57" i="24"/>
  <c r="J54" i="24"/>
  <c r="J57" i="24"/>
  <c r="K54" i="24"/>
  <c r="K57" i="24"/>
  <c r="T54" i="24"/>
  <c r="T57" i="24"/>
  <c r="W54" i="24"/>
  <c r="W57" i="24"/>
  <c r="X54" i="24"/>
  <c r="X57" i="24"/>
  <c r="F54" i="24"/>
  <c r="F57" i="24"/>
  <c r="P54" i="24"/>
  <c r="P57" i="24"/>
  <c r="V54" i="24"/>
  <c r="V57" i="24"/>
  <c r="G54" i="24"/>
  <c r="G57" i="24"/>
  <c r="F54" i="28"/>
  <c r="F57" i="28"/>
  <c r="V54" i="28"/>
  <c r="V57" i="28"/>
  <c r="U54" i="28"/>
  <c r="U57" i="28"/>
  <c r="M54" i="28"/>
  <c r="M57" i="28"/>
  <c r="Q54" i="28"/>
  <c r="Q57" i="28"/>
  <c r="T54" i="28"/>
  <c r="T57" i="28"/>
  <c r="J54" i="28"/>
  <c r="J57" i="28"/>
  <c r="G54" i="28"/>
  <c r="G57" i="28"/>
  <c r="Y57" i="21"/>
  <c r="D58" i="21"/>
  <c r="Y57" i="27"/>
  <c r="R58" i="27"/>
  <c r="Y57" i="25"/>
  <c r="X58" i="25"/>
  <c r="Y57" i="26"/>
  <c r="K58" i="26"/>
  <c r="Y57" i="22"/>
  <c r="J58" i="22"/>
  <c r="Y57" i="28"/>
  <c r="L58" i="28"/>
  <c r="Y57" i="23"/>
  <c r="K58" i="23"/>
  <c r="Y57" i="24"/>
  <c r="P58" i="24"/>
  <c r="K58" i="21"/>
  <c r="P58" i="21"/>
  <c r="O58" i="21"/>
  <c r="M58" i="21"/>
  <c r="G58" i="21"/>
  <c r="H58" i="21"/>
  <c r="Q58" i="21"/>
  <c r="E58" i="21"/>
  <c r="C58" i="21"/>
  <c r="I58" i="21"/>
  <c r="L58" i="21"/>
  <c r="F58" i="21"/>
  <c r="W58" i="21"/>
  <c r="N58" i="21"/>
  <c r="R58" i="21"/>
  <c r="S58" i="21"/>
  <c r="J58" i="21"/>
  <c r="T58" i="21"/>
  <c r="U58" i="21"/>
  <c r="Y58" i="21"/>
  <c r="G59" i="21"/>
  <c r="D9" i="21"/>
  <c r="X58" i="21"/>
  <c r="B58" i="21"/>
  <c r="V58" i="21"/>
  <c r="W58" i="25"/>
  <c r="L58" i="25"/>
  <c r="D58" i="27"/>
  <c r="X58" i="26"/>
  <c r="G58" i="27"/>
  <c r="H58" i="22"/>
  <c r="O58" i="22"/>
  <c r="I58" i="25"/>
  <c r="B58" i="25"/>
  <c r="L58" i="22"/>
  <c r="F58" i="22"/>
  <c r="F58" i="25"/>
  <c r="E58" i="27"/>
  <c r="L58" i="27"/>
  <c r="X58" i="27"/>
  <c r="K58" i="27"/>
  <c r="B58" i="22"/>
  <c r="V58" i="27"/>
  <c r="D58" i="22"/>
  <c r="X58" i="22"/>
  <c r="S58" i="27"/>
  <c r="V58" i="22"/>
  <c r="J58" i="27"/>
  <c r="G58" i="22"/>
  <c r="M58" i="27"/>
  <c r="O58" i="27"/>
  <c r="M58" i="22"/>
  <c r="H58" i="28"/>
  <c r="E58" i="22"/>
  <c r="T58" i="22"/>
  <c r="T58" i="27"/>
  <c r="I58" i="27"/>
  <c r="I58" i="28"/>
  <c r="R58" i="28"/>
  <c r="G58" i="28"/>
  <c r="E58" i="28"/>
  <c r="S58" i="22"/>
  <c r="B58" i="28"/>
  <c r="N58" i="22"/>
  <c r="Q58" i="22"/>
  <c r="U58" i="27"/>
  <c r="F58" i="27"/>
  <c r="T58" i="28"/>
  <c r="W58" i="22"/>
  <c r="S58" i="25"/>
  <c r="P58" i="25"/>
  <c r="S58" i="28"/>
  <c r="Q58" i="28"/>
  <c r="J58" i="25"/>
  <c r="H58" i="25"/>
  <c r="C58" i="22"/>
  <c r="N58" i="27"/>
  <c r="Q58" i="27"/>
  <c r="H58" i="27"/>
  <c r="R58" i="22"/>
  <c r="P58" i="28"/>
  <c r="K58" i="28"/>
  <c r="J58" i="28"/>
  <c r="T58" i="25"/>
  <c r="O58" i="25"/>
  <c r="F58" i="28"/>
  <c r="N58" i="25"/>
  <c r="P58" i="27"/>
  <c r="C58" i="27"/>
  <c r="C58" i="25"/>
  <c r="D58" i="28"/>
  <c r="V58" i="28"/>
  <c r="P58" i="22"/>
  <c r="D58" i="25"/>
  <c r="M58" i="25"/>
  <c r="K58" i="22"/>
  <c r="I58" i="22"/>
  <c r="B58" i="27"/>
  <c r="W58" i="27"/>
  <c r="X58" i="28"/>
  <c r="M58" i="28"/>
  <c r="U58" i="25"/>
  <c r="E58" i="25"/>
  <c r="O58" i="26"/>
  <c r="N58" i="28"/>
  <c r="O58" i="28"/>
  <c r="G58" i="25"/>
  <c r="K58" i="25"/>
  <c r="Q58" i="25"/>
  <c r="W58" i="28"/>
  <c r="U58" i="28"/>
  <c r="C58" i="28"/>
  <c r="U58" i="22"/>
  <c r="V58" i="25"/>
  <c r="R58" i="25"/>
  <c r="G58" i="26"/>
  <c r="V58" i="26"/>
  <c r="T58" i="26"/>
  <c r="F58" i="26"/>
  <c r="J58" i="26"/>
  <c r="P58" i="26"/>
  <c r="M58" i="26"/>
  <c r="N58" i="26"/>
  <c r="B58" i="26"/>
  <c r="I58" i="26"/>
  <c r="R58" i="26"/>
  <c r="H58" i="26"/>
  <c r="Q58" i="26"/>
  <c r="W58" i="26"/>
  <c r="L58" i="26"/>
  <c r="S58" i="26"/>
  <c r="U58" i="26"/>
  <c r="D58" i="26"/>
  <c r="E58" i="26"/>
  <c r="C58" i="26"/>
  <c r="X58" i="23"/>
  <c r="R58" i="23"/>
  <c r="I58" i="23"/>
  <c r="L58" i="23"/>
  <c r="C58" i="23"/>
  <c r="T58" i="23"/>
  <c r="S58" i="23"/>
  <c r="Q58" i="23"/>
  <c r="D58" i="23"/>
  <c r="W58" i="23"/>
  <c r="H58" i="23"/>
  <c r="U58" i="23"/>
  <c r="E58" i="23"/>
  <c r="J58" i="23"/>
  <c r="B58" i="23"/>
  <c r="O58" i="23"/>
  <c r="M58" i="23"/>
  <c r="P58" i="23"/>
  <c r="G58" i="23"/>
  <c r="V58" i="23"/>
  <c r="N58" i="23"/>
  <c r="F58" i="23"/>
  <c r="F58" i="24"/>
  <c r="V58" i="24"/>
  <c r="O58" i="24"/>
  <c r="B58" i="24"/>
  <c r="E58" i="24"/>
  <c r="T58" i="24"/>
  <c r="I58" i="24"/>
  <c r="N58" i="24"/>
  <c r="S58" i="24"/>
  <c r="M58" i="24"/>
  <c r="J58" i="24"/>
  <c r="L58" i="24"/>
  <c r="U58" i="24"/>
  <c r="K58" i="24"/>
  <c r="Q58" i="24"/>
  <c r="R58" i="24"/>
  <c r="C58" i="24"/>
  <c r="W58" i="24"/>
  <c r="D58" i="24"/>
  <c r="X58" i="24"/>
  <c r="H58" i="24"/>
  <c r="G58" i="24"/>
  <c r="R59" i="21"/>
  <c r="F13" i="21"/>
  <c r="S59" i="21"/>
  <c r="G13" i="21"/>
  <c r="W59" i="21"/>
  <c r="B13" i="21"/>
  <c r="X59" i="21"/>
  <c r="C13" i="21"/>
  <c r="I59" i="21"/>
  <c r="E7" i="21"/>
  <c r="U59" i="21"/>
  <c r="E11" i="21"/>
  <c r="M59" i="21"/>
  <c r="G7" i="21"/>
  <c r="V59" i="21"/>
  <c r="D13" i="21"/>
  <c r="F59" i="21"/>
  <c r="C11" i="21"/>
  <c r="C59" i="21"/>
  <c r="B9" i="21"/>
  <c r="W7" i="30"/>
  <c r="K59" i="21"/>
  <c r="D11" i="21"/>
  <c r="J59" i="21"/>
  <c r="E9" i="21"/>
  <c r="B59" i="21"/>
  <c r="B7" i="21"/>
  <c r="T7" i="30"/>
  <c r="O59" i="21"/>
  <c r="G9" i="21"/>
  <c r="Q59" i="21"/>
  <c r="G11" i="21"/>
  <c r="D59" i="21"/>
  <c r="C9" i="21"/>
  <c r="E59" i="21"/>
  <c r="B11" i="21"/>
  <c r="N59" i="21"/>
  <c r="F9" i="21"/>
  <c r="T59" i="21"/>
  <c r="P59" i="21"/>
  <c r="F11" i="21"/>
  <c r="H59" i="21"/>
  <c r="D7" i="21"/>
  <c r="L59" i="21"/>
  <c r="F7" i="21"/>
  <c r="Y58" i="22"/>
  <c r="L59" i="22"/>
  <c r="F7" i="22"/>
  <c r="Y58" i="28"/>
  <c r="M59" i="28"/>
  <c r="G7" i="28"/>
  <c r="Y58" i="25"/>
  <c r="U59" i="25"/>
  <c r="E11" i="25"/>
  <c r="Y58" i="27"/>
  <c r="H59" i="27"/>
  <c r="D7" i="27"/>
  <c r="Y58" i="26"/>
  <c r="V59" i="26"/>
  <c r="D13" i="26"/>
  <c r="Y58" i="23"/>
  <c r="Q59" i="23"/>
  <c r="G11" i="23"/>
  <c r="Y58" i="24"/>
  <c r="T59" i="24"/>
  <c r="F59" i="22"/>
  <c r="C11" i="22"/>
  <c r="V59" i="22"/>
  <c r="D13" i="22"/>
  <c r="O59" i="22"/>
  <c r="G9" i="22"/>
  <c r="I59" i="22"/>
  <c r="E7" i="22"/>
  <c r="Q59" i="22"/>
  <c r="G11" i="22"/>
  <c r="R59" i="22"/>
  <c r="F13" i="22"/>
  <c r="G59" i="22"/>
  <c r="D9" i="22"/>
  <c r="B59" i="22"/>
  <c r="B7" i="22"/>
  <c r="T8" i="30"/>
  <c r="P59" i="22"/>
  <c r="F11" i="22"/>
  <c r="J59" i="22"/>
  <c r="E9" i="22"/>
  <c r="K59" i="22"/>
  <c r="D11" i="22"/>
  <c r="C7" i="21"/>
  <c r="U7" i="30"/>
  <c r="M59" i="22"/>
  <c r="G7" i="22"/>
  <c r="G59" i="28"/>
  <c r="D9" i="28"/>
  <c r="R59" i="28"/>
  <c r="F13" i="28"/>
  <c r="C59" i="22"/>
  <c r="B9" i="22"/>
  <c r="W8" i="30"/>
  <c r="D5" i="21"/>
  <c r="X7" i="30"/>
  <c r="W59" i="22"/>
  <c r="B13" i="22"/>
  <c r="D59" i="22"/>
  <c r="C9" i="22"/>
  <c r="F5" i="21"/>
  <c r="Y7" i="30"/>
  <c r="H59" i="28"/>
  <c r="D7" i="28"/>
  <c r="X59" i="22"/>
  <c r="C13" i="22"/>
  <c r="U59" i="22"/>
  <c r="E11" i="22"/>
  <c r="V59" i="28"/>
  <c r="D13" i="28"/>
  <c r="L59" i="28"/>
  <c r="F7" i="28"/>
  <c r="J59" i="28"/>
  <c r="E9" i="28"/>
  <c r="B59" i="28"/>
  <c r="B7" i="28"/>
  <c r="T14" i="30"/>
  <c r="I59" i="25"/>
  <c r="E7" i="25"/>
  <c r="F59" i="25"/>
  <c r="C11" i="25"/>
  <c r="M59" i="25"/>
  <c r="G7" i="25"/>
  <c r="C59" i="25"/>
  <c r="B9" i="25"/>
  <c r="W11" i="30"/>
  <c r="X59" i="28"/>
  <c r="C13" i="28"/>
  <c r="R59" i="25"/>
  <c r="F13" i="25"/>
  <c r="F59" i="28"/>
  <c r="C11" i="28"/>
  <c r="P59" i="28"/>
  <c r="F11" i="28"/>
  <c r="O59" i="25"/>
  <c r="G9" i="25"/>
  <c r="U59" i="28"/>
  <c r="E11" i="28"/>
  <c r="O59" i="28"/>
  <c r="G9" i="28"/>
  <c r="X59" i="25"/>
  <c r="C13" i="25"/>
  <c r="W59" i="28"/>
  <c r="B13" i="28"/>
  <c r="E59" i="27"/>
  <c r="B11" i="27"/>
  <c r="Q59" i="25"/>
  <c r="G11" i="25"/>
  <c r="I59" i="27"/>
  <c r="E7" i="27"/>
  <c r="S59" i="28"/>
  <c r="G13" i="28"/>
  <c r="B59" i="25"/>
  <c r="B7" i="25"/>
  <c r="T11" i="30"/>
  <c r="S59" i="27"/>
  <c r="G13" i="27"/>
  <c r="W59" i="27"/>
  <c r="B13" i="27"/>
  <c r="N59" i="27"/>
  <c r="F9" i="27"/>
  <c r="E59" i="25"/>
  <c r="B11" i="25"/>
  <c r="B59" i="27"/>
  <c r="B7" i="27"/>
  <c r="T13" i="30"/>
  <c r="N59" i="28"/>
  <c r="F9" i="28"/>
  <c r="C59" i="28"/>
  <c r="B9" i="28"/>
  <c r="W14" i="30"/>
  <c r="E59" i="28"/>
  <c r="B11" i="28"/>
  <c r="K59" i="25"/>
  <c r="D11" i="25"/>
  <c r="W59" i="25"/>
  <c r="B13" i="25"/>
  <c r="G59" i="27"/>
  <c r="D9" i="27"/>
  <c r="T59" i="28"/>
  <c r="D59" i="28"/>
  <c r="C9" i="28"/>
  <c r="J59" i="25"/>
  <c r="E9" i="25"/>
  <c r="D59" i="25"/>
  <c r="C9" i="25"/>
  <c r="Q59" i="27"/>
  <c r="G11" i="27"/>
  <c r="T59" i="27"/>
  <c r="L59" i="25"/>
  <c r="F7" i="25"/>
  <c r="S59" i="25"/>
  <c r="G13" i="25"/>
  <c r="K59" i="28"/>
  <c r="D11" i="28"/>
  <c r="Q59" i="28"/>
  <c r="G11" i="28"/>
  <c r="I59" i="28"/>
  <c r="E7" i="28"/>
  <c r="P59" i="25"/>
  <c r="F11" i="25"/>
  <c r="N59" i="25"/>
  <c r="F9" i="25"/>
  <c r="X59" i="27"/>
  <c r="C13" i="27"/>
  <c r="N59" i="22"/>
  <c r="F9" i="22"/>
  <c r="E59" i="22"/>
  <c r="B11" i="22"/>
  <c r="H59" i="22"/>
  <c r="D7" i="22"/>
  <c r="T59" i="22"/>
  <c r="S59" i="22"/>
  <c r="G13" i="22"/>
  <c r="C59" i="27"/>
  <c r="B9" i="27"/>
  <c r="W13" i="30"/>
  <c r="U59" i="27"/>
  <c r="E11" i="27"/>
  <c r="O59" i="27"/>
  <c r="G9" i="27"/>
  <c r="F59" i="27"/>
  <c r="C11" i="27"/>
  <c r="J59" i="27"/>
  <c r="E9" i="27"/>
  <c r="K59" i="27"/>
  <c r="D11" i="27"/>
  <c r="V59" i="27"/>
  <c r="D13" i="27"/>
  <c r="E59" i="26"/>
  <c r="B11" i="26"/>
  <c r="R59" i="27"/>
  <c r="F13" i="27"/>
  <c r="P59" i="27"/>
  <c r="F11" i="27"/>
  <c r="Q59" i="26"/>
  <c r="G11" i="26"/>
  <c r="M59" i="26"/>
  <c r="G7" i="26"/>
  <c r="V59" i="25"/>
  <c r="D13" i="25"/>
  <c r="G59" i="25"/>
  <c r="D9" i="25"/>
  <c r="H59" i="25"/>
  <c r="D7" i="25"/>
  <c r="T59" i="25"/>
  <c r="L59" i="27"/>
  <c r="F7" i="27"/>
  <c r="M59" i="27"/>
  <c r="G7" i="27"/>
  <c r="D59" i="27"/>
  <c r="C9" i="27"/>
  <c r="C59" i="26"/>
  <c r="B9" i="26"/>
  <c r="W12" i="30"/>
  <c r="H59" i="26"/>
  <c r="D7" i="26"/>
  <c r="N59" i="26"/>
  <c r="F9" i="26"/>
  <c r="T59" i="26"/>
  <c r="B59" i="26"/>
  <c r="B7" i="26"/>
  <c r="T12" i="30"/>
  <c r="W59" i="26"/>
  <c r="B13" i="26"/>
  <c r="L59" i="26"/>
  <c r="F7" i="26"/>
  <c r="U59" i="26"/>
  <c r="E11" i="26"/>
  <c r="I59" i="26"/>
  <c r="E7" i="26"/>
  <c r="J59" i="26"/>
  <c r="E9" i="26"/>
  <c r="K59" i="26"/>
  <c r="D11" i="26"/>
  <c r="G59" i="26"/>
  <c r="D9" i="26"/>
  <c r="P59" i="26"/>
  <c r="F11" i="26"/>
  <c r="S59" i="26"/>
  <c r="G13" i="26"/>
  <c r="F59" i="26"/>
  <c r="C11" i="26"/>
  <c r="O59" i="26"/>
  <c r="G9" i="26"/>
  <c r="X59" i="26"/>
  <c r="C13" i="26"/>
  <c r="D59" i="26"/>
  <c r="C9" i="26"/>
  <c r="R59" i="26"/>
  <c r="F13" i="26"/>
  <c r="D59" i="23"/>
  <c r="C9" i="23"/>
  <c r="J59" i="23"/>
  <c r="E9" i="23"/>
  <c r="L59" i="23"/>
  <c r="F7" i="23"/>
  <c r="F59" i="23"/>
  <c r="C11" i="23"/>
  <c r="X59" i="23"/>
  <c r="C13" i="23"/>
  <c r="G59" i="23"/>
  <c r="D9" i="23"/>
  <c r="B59" i="23"/>
  <c r="B7" i="23"/>
  <c r="T9" i="30"/>
  <c r="P59" i="23"/>
  <c r="F11" i="23"/>
  <c r="O59" i="23"/>
  <c r="G9" i="23"/>
  <c r="U59" i="23"/>
  <c r="E11" i="23"/>
  <c r="C59" i="23"/>
  <c r="B9" i="23"/>
  <c r="W9" i="30"/>
  <c r="W59" i="23"/>
  <c r="B13" i="23"/>
  <c r="M59" i="23"/>
  <c r="G7" i="23"/>
  <c r="N59" i="23"/>
  <c r="F9" i="23"/>
  <c r="V59" i="23"/>
  <c r="D13" i="23"/>
  <c r="E59" i="23"/>
  <c r="B11" i="23"/>
  <c r="K59" i="23"/>
  <c r="D11" i="23"/>
  <c r="H59" i="23"/>
  <c r="D7" i="23"/>
  <c r="T59" i="23"/>
  <c r="I59" i="23"/>
  <c r="E7" i="23"/>
  <c r="S59" i="23"/>
  <c r="G13" i="23"/>
  <c r="R59" i="23"/>
  <c r="F13" i="23"/>
  <c r="B59" i="24"/>
  <c r="B7" i="24"/>
  <c r="T10" i="30"/>
  <c r="X59" i="24"/>
  <c r="C13" i="24"/>
  <c r="D59" i="24"/>
  <c r="C9" i="24"/>
  <c r="V59" i="24"/>
  <c r="D13" i="24"/>
  <c r="P59" i="24"/>
  <c r="F11" i="24"/>
  <c r="F59" i="24"/>
  <c r="C11" i="24"/>
  <c r="S59" i="24"/>
  <c r="G13" i="24"/>
  <c r="W59" i="24"/>
  <c r="B13" i="24"/>
  <c r="K59" i="24"/>
  <c r="D11" i="24"/>
  <c r="G59" i="24"/>
  <c r="D9" i="24"/>
  <c r="L59" i="24"/>
  <c r="F7" i="24"/>
  <c r="Q59" i="24"/>
  <c r="G11" i="24"/>
  <c r="U59" i="24"/>
  <c r="E11" i="24"/>
  <c r="M59" i="24"/>
  <c r="G7" i="24"/>
  <c r="H59" i="24"/>
  <c r="D7" i="24"/>
  <c r="I59" i="24"/>
  <c r="E7" i="24"/>
  <c r="O59" i="24"/>
  <c r="G9" i="24"/>
  <c r="C59" i="24"/>
  <c r="B9" i="24"/>
  <c r="W10" i="30"/>
  <c r="R59" i="24"/>
  <c r="F13" i="24"/>
  <c r="J59" i="24"/>
  <c r="E9" i="24"/>
  <c r="E59" i="24"/>
  <c r="B11" i="24"/>
  <c r="N59" i="24"/>
  <c r="F9" i="24"/>
  <c r="C7" i="22"/>
  <c r="U8" i="30"/>
  <c r="B5" i="21"/>
  <c r="V7" i="30"/>
  <c r="F5" i="22"/>
  <c r="Y8" i="30"/>
  <c r="D5" i="22"/>
  <c r="X8" i="30"/>
  <c r="C7" i="25"/>
  <c r="U11" i="30"/>
  <c r="F5" i="28"/>
  <c r="Y14" i="30"/>
  <c r="D5" i="28"/>
  <c r="X14" i="30"/>
  <c r="C7" i="27"/>
  <c r="U13" i="30"/>
  <c r="D5" i="25"/>
  <c r="X11" i="30"/>
  <c r="F5" i="25"/>
  <c r="Y11" i="30"/>
  <c r="C7" i="28"/>
  <c r="U14" i="30"/>
  <c r="D5" i="27"/>
  <c r="X13" i="30"/>
  <c r="C7" i="26"/>
  <c r="U12" i="30"/>
  <c r="F5" i="27"/>
  <c r="Y13" i="30"/>
  <c r="D5" i="23"/>
  <c r="X9" i="30"/>
  <c r="D5" i="26"/>
  <c r="X12" i="30"/>
  <c r="F5" i="26"/>
  <c r="Y12" i="30"/>
  <c r="C7" i="23"/>
  <c r="U9" i="30"/>
  <c r="F5" i="23"/>
  <c r="Y9" i="30"/>
  <c r="D5" i="24"/>
  <c r="X10" i="30"/>
  <c r="F5" i="24"/>
  <c r="Y10" i="30"/>
  <c r="C7" i="24"/>
  <c r="U10" i="30"/>
  <c r="B5" i="22"/>
  <c r="V8" i="30"/>
  <c r="B5" i="25"/>
  <c r="V11" i="30"/>
  <c r="B5" i="27"/>
  <c r="V13" i="30"/>
  <c r="B5" i="26"/>
  <c r="V12" i="30"/>
  <c r="B5" i="28"/>
  <c r="V14" i="30"/>
  <c r="B5" i="23"/>
  <c r="V9" i="30"/>
  <c r="B5" i="24"/>
  <c r="V10" i="30"/>
  <c r="C50" i="20"/>
  <c r="Q50" i="20"/>
  <c r="X50" i="20"/>
  <c r="G50" i="20"/>
  <c r="U50" i="20"/>
  <c r="L50" i="20"/>
  <c r="B50" i="20"/>
  <c r="K50" i="20"/>
  <c r="E50" i="20"/>
  <c r="F50" i="20"/>
  <c r="P50" i="20"/>
  <c r="I50" i="20"/>
  <c r="J50" i="20"/>
  <c r="T50" i="20"/>
  <c r="N50" i="20"/>
  <c r="O50" i="20"/>
  <c r="D50" i="20"/>
  <c r="R50" i="20"/>
  <c r="S50" i="20"/>
  <c r="H50" i="20"/>
  <c r="V50" i="20"/>
  <c r="W50" i="20"/>
  <c r="M50" i="20"/>
  <c r="N51" i="20"/>
  <c r="S51" i="20"/>
  <c r="D51" i="20"/>
  <c r="R51" i="20"/>
  <c r="W51" i="20"/>
  <c r="M51" i="20"/>
  <c r="V51" i="20"/>
  <c r="H51" i="20"/>
  <c r="X51" i="20"/>
  <c r="Q51" i="20"/>
  <c r="C51" i="20"/>
  <c r="U51" i="20"/>
  <c r="B51" i="20"/>
  <c r="G51" i="20"/>
  <c r="L51" i="20"/>
  <c r="F51" i="20"/>
  <c r="K51" i="20"/>
  <c r="E51" i="20"/>
  <c r="J51" i="20"/>
  <c r="P51" i="20"/>
  <c r="I51" i="20"/>
  <c r="O51" i="20"/>
  <c r="T51" i="20"/>
  <c r="Q44" i="20"/>
  <c r="B44" i="20"/>
  <c r="K44" i="20"/>
  <c r="U44" i="20"/>
  <c r="F44" i="20"/>
  <c r="P44" i="20"/>
  <c r="L44" i="20"/>
  <c r="J44" i="20"/>
  <c r="E44" i="20"/>
  <c r="O44" i="20"/>
  <c r="X44" i="20"/>
  <c r="I44" i="20"/>
  <c r="S44" i="20"/>
  <c r="T44" i="20"/>
  <c r="D44" i="20"/>
  <c r="N44" i="20"/>
  <c r="W44" i="20"/>
  <c r="H44" i="20"/>
  <c r="R44" i="20"/>
  <c r="C44" i="20"/>
  <c r="M44" i="20"/>
  <c r="V44" i="20"/>
  <c r="G44" i="20"/>
  <c r="M52" i="20"/>
  <c r="N52" i="20"/>
  <c r="W52" i="20"/>
  <c r="Q52" i="20"/>
  <c r="R52" i="20"/>
  <c r="C52" i="20"/>
  <c r="U52" i="20"/>
  <c r="V52" i="20"/>
  <c r="G52" i="20"/>
  <c r="B52" i="20"/>
  <c r="K52" i="20"/>
  <c r="F52" i="20"/>
  <c r="P52" i="20"/>
  <c r="X52" i="20"/>
  <c r="L52" i="20"/>
  <c r="J52" i="20"/>
  <c r="T52" i="20"/>
  <c r="D52" i="20"/>
  <c r="E52" i="20"/>
  <c r="O52" i="20"/>
  <c r="I52" i="20"/>
  <c r="S52" i="20"/>
  <c r="H52" i="20"/>
  <c r="X45" i="20"/>
  <c r="C45" i="20"/>
  <c r="B45" i="20"/>
  <c r="K45" i="20"/>
  <c r="P45" i="20"/>
  <c r="F45" i="20"/>
  <c r="D45" i="20"/>
  <c r="L45" i="20"/>
  <c r="J45" i="20"/>
  <c r="H45" i="20"/>
  <c r="E45" i="20"/>
  <c r="O45" i="20"/>
  <c r="M45" i="20"/>
  <c r="I45" i="20"/>
  <c r="S45" i="20"/>
  <c r="Q45" i="20"/>
  <c r="V45" i="20"/>
  <c r="W45" i="20"/>
  <c r="T45" i="20"/>
  <c r="U45" i="20"/>
  <c r="G45" i="20"/>
  <c r="N45" i="20"/>
  <c r="R45" i="20"/>
  <c r="P53" i="20"/>
  <c r="L53" i="20"/>
  <c r="C53" i="20"/>
  <c r="D53" i="20"/>
  <c r="E53" i="20"/>
  <c r="B53" i="20"/>
  <c r="H53" i="20"/>
  <c r="I53" i="20"/>
  <c r="F53" i="20"/>
  <c r="M53" i="20"/>
  <c r="N53" i="20"/>
  <c r="J53" i="20"/>
  <c r="R53" i="20"/>
  <c r="V53" i="20"/>
  <c r="X53" i="20"/>
  <c r="Q53" i="20"/>
  <c r="O53" i="20"/>
  <c r="U53" i="20"/>
  <c r="S53" i="20"/>
  <c r="K53" i="20"/>
  <c r="W53" i="20"/>
  <c r="T53" i="20"/>
  <c r="G53" i="20"/>
  <c r="X49" i="20"/>
  <c r="L49" i="20"/>
  <c r="D49" i="20"/>
  <c r="R49" i="20"/>
  <c r="I49" i="20"/>
  <c r="E49" i="20"/>
  <c r="V49" i="20"/>
  <c r="H49" i="20"/>
  <c r="M49" i="20"/>
  <c r="B49" i="20"/>
  <c r="F49" i="20"/>
  <c r="C49" i="20"/>
  <c r="Q49" i="20"/>
  <c r="J49" i="20"/>
  <c r="U49" i="20"/>
  <c r="O49" i="20"/>
  <c r="S49" i="20"/>
  <c r="W49" i="20"/>
  <c r="N49" i="20"/>
  <c r="G49" i="20"/>
  <c r="K49" i="20"/>
  <c r="P49" i="20"/>
  <c r="T49" i="20"/>
  <c r="T46" i="20"/>
  <c r="I46" i="20"/>
  <c r="S46" i="20"/>
  <c r="D46" i="20"/>
  <c r="N46" i="20"/>
  <c r="W46" i="20"/>
  <c r="H46" i="20"/>
  <c r="R46" i="20"/>
  <c r="X46" i="20"/>
  <c r="M46" i="20"/>
  <c r="V46" i="20"/>
  <c r="Q46" i="20"/>
  <c r="U46" i="20"/>
  <c r="L46" i="20"/>
  <c r="E46" i="20"/>
  <c r="F46" i="20"/>
  <c r="C46" i="20"/>
  <c r="B46" i="20"/>
  <c r="G46" i="20"/>
  <c r="K46" i="20"/>
  <c r="J46" i="20"/>
  <c r="P46" i="20"/>
  <c r="O46" i="20"/>
  <c r="P47" i="20"/>
  <c r="O47" i="20"/>
  <c r="F47" i="20"/>
  <c r="D47" i="20"/>
  <c r="T47" i="20"/>
  <c r="S47" i="20"/>
  <c r="J47" i="20"/>
  <c r="L47" i="20"/>
  <c r="W47" i="20"/>
  <c r="H47" i="20"/>
  <c r="E47" i="20"/>
  <c r="X47" i="20"/>
  <c r="I47" i="20"/>
  <c r="C47" i="20"/>
  <c r="N47" i="20"/>
  <c r="G47" i="20"/>
  <c r="R47" i="20"/>
  <c r="K47" i="20"/>
  <c r="V47" i="20"/>
  <c r="B47" i="20"/>
  <c r="M47" i="20"/>
  <c r="Q47" i="20"/>
  <c r="U47" i="20"/>
  <c r="J48" i="20"/>
  <c r="T48" i="20"/>
  <c r="I48" i="20"/>
  <c r="S48" i="20"/>
  <c r="R48" i="20"/>
  <c r="O48" i="20"/>
  <c r="D48" i="20"/>
  <c r="N48" i="20"/>
  <c r="H48" i="20"/>
  <c r="W48" i="20"/>
  <c r="M48" i="20"/>
  <c r="V48" i="20"/>
  <c r="C48" i="20"/>
  <c r="G48" i="20"/>
  <c r="K48" i="20"/>
  <c r="P48" i="20"/>
  <c r="Q48" i="20"/>
  <c r="X48" i="20"/>
  <c r="F48" i="20"/>
  <c r="U48" i="20"/>
  <c r="B48" i="20"/>
  <c r="L48" i="20"/>
  <c r="E48" i="20"/>
  <c r="Y56" i="20"/>
  <c r="E18" i="20"/>
  <c r="V38" i="20"/>
  <c r="T38" i="20"/>
  <c r="M38" i="20"/>
  <c r="X38" i="20"/>
  <c r="W38" i="20"/>
  <c r="G38" i="20"/>
  <c r="L38" i="20"/>
  <c r="D38" i="20"/>
  <c r="H38" i="20"/>
  <c r="B38" i="20"/>
  <c r="P38" i="20"/>
  <c r="S38" i="20"/>
  <c r="J38" i="20"/>
  <c r="K38" i="20"/>
  <c r="C38" i="20"/>
  <c r="I38" i="20"/>
  <c r="N38" i="20"/>
  <c r="G18" i="20"/>
  <c r="G5" i="14"/>
  <c r="F38" i="20"/>
  <c r="U38" i="20"/>
  <c r="R38" i="20"/>
  <c r="E38" i="20"/>
  <c r="O38" i="20"/>
  <c r="Q38" i="20"/>
  <c r="E25" i="20"/>
  <c r="G25" i="20" s="1"/>
  <c r="G12" i="14" s="1"/>
  <c r="E28" i="20"/>
  <c r="G28" i="20" s="1"/>
  <c r="G15" i="14" s="1"/>
  <c r="E19" i="20"/>
  <c r="E21" i="20"/>
  <c r="E22" i="20"/>
  <c r="G22" i="20" s="1"/>
  <c r="G9" i="14" s="1"/>
  <c r="E27" i="20"/>
  <c r="G27" i="20"/>
  <c r="G14" i="14" s="1"/>
  <c r="E26" i="20"/>
  <c r="G26" i="20" s="1"/>
  <c r="G13" i="14" s="1"/>
  <c r="E30" i="20"/>
  <c r="G30" i="20" s="1"/>
  <c r="G17" i="14" s="1"/>
  <c r="E24" i="20"/>
  <c r="G24" i="20" s="1"/>
  <c r="G11" i="14" s="1"/>
  <c r="E31" i="20"/>
  <c r="G31" i="20" s="1"/>
  <c r="G18" i="14" s="1"/>
  <c r="E33" i="20"/>
  <c r="G33" i="20" s="1"/>
  <c r="G20" i="14" s="1"/>
  <c r="E20" i="20"/>
  <c r="E32" i="20"/>
  <c r="G32" i="20" s="1"/>
  <c r="G19" i="14" s="1"/>
  <c r="E23" i="20"/>
  <c r="I43" i="20" s="1"/>
  <c r="E29" i="20"/>
  <c r="G29" i="20" s="1"/>
  <c r="G16" i="14" s="1"/>
  <c r="X42" i="20"/>
  <c r="R42" i="20"/>
  <c r="J42" i="20"/>
  <c r="P42" i="20"/>
  <c r="O42" i="20"/>
  <c r="V42" i="20"/>
  <c r="T42" i="20"/>
  <c r="Q42" i="20"/>
  <c r="K42" i="20"/>
  <c r="H42" i="20"/>
  <c r="B42" i="20"/>
  <c r="I42" i="20"/>
  <c r="N42" i="20"/>
  <c r="E42" i="20"/>
  <c r="U42" i="20"/>
  <c r="D42" i="20"/>
  <c r="W42" i="20"/>
  <c r="S42" i="20"/>
  <c r="G42" i="20"/>
  <c r="C42" i="20"/>
  <c r="M42" i="20"/>
  <c r="F42" i="20"/>
  <c r="L42" i="20"/>
  <c r="E40" i="20"/>
  <c r="U40" i="20"/>
  <c r="V40" i="20"/>
  <c r="G20" i="20"/>
  <c r="G7" i="14"/>
  <c r="D40" i="20"/>
  <c r="B40" i="20"/>
  <c r="G40" i="20"/>
  <c r="T40" i="20"/>
  <c r="J40" i="20"/>
  <c r="C40" i="20"/>
  <c r="F40" i="20"/>
  <c r="N40" i="20"/>
  <c r="O40" i="20"/>
  <c r="S40" i="20"/>
  <c r="K40" i="20"/>
  <c r="L40" i="20"/>
  <c r="X40" i="20"/>
  <c r="M40" i="20"/>
  <c r="P40" i="20"/>
  <c r="Q40" i="20"/>
  <c r="W40" i="20"/>
  <c r="H40" i="20"/>
  <c r="I40" i="20"/>
  <c r="R40" i="20"/>
  <c r="F41" i="20"/>
  <c r="P41" i="20"/>
  <c r="H41" i="20"/>
  <c r="E41" i="20"/>
  <c r="T41" i="20"/>
  <c r="N41" i="20"/>
  <c r="B41" i="20"/>
  <c r="J41" i="20"/>
  <c r="C41" i="20"/>
  <c r="L41" i="20"/>
  <c r="O41" i="20"/>
  <c r="U41" i="20"/>
  <c r="G41" i="20"/>
  <c r="V41" i="20"/>
  <c r="Q41" i="20"/>
  <c r="M41" i="20"/>
  <c r="W41" i="20"/>
  <c r="D41" i="20"/>
  <c r="G21" i="20"/>
  <c r="G8" i="14" s="1"/>
  <c r="I41" i="20"/>
  <c r="X41" i="20"/>
  <c r="S41" i="20"/>
  <c r="K41" i="20"/>
  <c r="R41" i="20"/>
  <c r="V39" i="20"/>
  <c r="X39" i="20"/>
  <c r="N39" i="20"/>
  <c r="C39" i="20"/>
  <c r="Q39" i="20"/>
  <c r="P39" i="20"/>
  <c r="J39" i="20"/>
  <c r="G19" i="20"/>
  <c r="G6" i="14" s="1"/>
  <c r="T39" i="20"/>
  <c r="E39" i="20"/>
  <c r="G39" i="20"/>
  <c r="M39" i="20"/>
  <c r="F39" i="20"/>
  <c r="O39" i="20"/>
  <c r="H39" i="20"/>
  <c r="B39" i="20"/>
  <c r="K39" i="20"/>
  <c r="R39" i="20"/>
  <c r="W39" i="20"/>
  <c r="D39" i="20"/>
  <c r="L39" i="20"/>
  <c r="I39" i="20"/>
  <c r="U39" i="20"/>
  <c r="S39" i="20"/>
  <c r="G42" i="19" l="1"/>
  <c r="M42" i="19"/>
  <c r="E32" i="19"/>
  <c r="G32" i="19" s="1"/>
  <c r="D19" i="14" s="1"/>
  <c r="V42" i="19"/>
  <c r="L42" i="19"/>
  <c r="E21" i="19"/>
  <c r="O41" i="19" s="1"/>
  <c r="T42" i="19"/>
  <c r="E29" i="19"/>
  <c r="G29" i="19" s="1"/>
  <c r="D16" i="14" s="1"/>
  <c r="E19" i="19"/>
  <c r="S42" i="19"/>
  <c r="E18" i="19"/>
  <c r="R42" i="19"/>
  <c r="E27" i="19"/>
  <c r="G27" i="19" s="1"/>
  <c r="D14" i="14" s="1"/>
  <c r="V40" i="19"/>
  <c r="W42" i="19"/>
  <c r="H41" i="19"/>
  <c r="G41" i="19"/>
  <c r="V41" i="19"/>
  <c r="F41" i="19"/>
  <c r="P41" i="19"/>
  <c r="U41" i="19"/>
  <c r="N41" i="19"/>
  <c r="D41" i="19"/>
  <c r="S41" i="19"/>
  <c r="M41" i="19"/>
  <c r="R41" i="19"/>
  <c r="B41" i="19"/>
  <c r="L41" i="19"/>
  <c r="G21" i="19"/>
  <c r="D8" i="14" s="1"/>
  <c r="K41" i="19"/>
  <c r="J41" i="19"/>
  <c r="I41" i="19"/>
  <c r="M43" i="19"/>
  <c r="N43" i="19"/>
  <c r="O43" i="19"/>
  <c r="P43" i="19"/>
  <c r="Q43" i="19"/>
  <c r="G23" i="19"/>
  <c r="D10" i="14" s="1"/>
  <c r="B43" i="19"/>
  <c r="R43" i="19"/>
  <c r="C43" i="19"/>
  <c r="S43" i="19"/>
  <c r="D43" i="19"/>
  <c r="T43" i="19"/>
  <c r="E43" i="19"/>
  <c r="U43" i="19"/>
  <c r="F43" i="19"/>
  <c r="V43" i="19"/>
  <c r="G43" i="19"/>
  <c r="W43" i="19"/>
  <c r="H43" i="19"/>
  <c r="X43" i="19"/>
  <c r="I43" i="19"/>
  <c r="L43" i="19"/>
  <c r="J43" i="19"/>
  <c r="K43" i="19"/>
  <c r="S40" i="19"/>
  <c r="E41" i="19"/>
  <c r="C40" i="19"/>
  <c r="R40" i="19"/>
  <c r="B40" i="19"/>
  <c r="Q40" i="19"/>
  <c r="P40" i="19"/>
  <c r="O40" i="19"/>
  <c r="G20" i="19"/>
  <c r="D7" i="14" s="1"/>
  <c r="H40" i="19"/>
  <c r="F40" i="19"/>
  <c r="W40" i="19"/>
  <c r="N40" i="19"/>
  <c r="G40" i="19"/>
  <c r="M40" i="19"/>
  <c r="U40" i="19"/>
  <c r="L40" i="19"/>
  <c r="E40" i="19"/>
  <c r="X40" i="19"/>
  <c r="T40" i="19"/>
  <c r="K40" i="19"/>
  <c r="D40" i="19"/>
  <c r="I54" i="20"/>
  <c r="I57" i="20" s="1"/>
  <c r="U54" i="20"/>
  <c r="U57" i="20" s="1"/>
  <c r="F43" i="20"/>
  <c r="F54" i="20" s="1"/>
  <c r="F57" i="20" s="1"/>
  <c r="T43" i="20"/>
  <c r="T54" i="20" s="1"/>
  <c r="T57" i="20" s="1"/>
  <c r="G23" i="20"/>
  <c r="G10" i="14" s="1"/>
  <c r="G43" i="20"/>
  <c r="G54" i="20" s="1"/>
  <c r="G57" i="20" s="1"/>
  <c r="J43" i="20"/>
  <c r="J54" i="20" s="1"/>
  <c r="J57" i="20" s="1"/>
  <c r="D43" i="20"/>
  <c r="D54" i="20" s="1"/>
  <c r="D57" i="20" s="1"/>
  <c r="R43" i="20"/>
  <c r="R54" i="20" s="1"/>
  <c r="R57" i="20" s="1"/>
  <c r="P43" i="20"/>
  <c r="P54" i="20" s="1"/>
  <c r="P57" i="20" s="1"/>
  <c r="S43" i="20"/>
  <c r="S54" i="20" s="1"/>
  <c r="S57" i="20" s="1"/>
  <c r="K43" i="20"/>
  <c r="K54" i="20" s="1"/>
  <c r="K57" i="20" s="1"/>
  <c r="H43" i="20"/>
  <c r="H54" i="20" s="1"/>
  <c r="H57" i="20" s="1"/>
  <c r="C43" i="20"/>
  <c r="C54" i="20" s="1"/>
  <c r="C57" i="20" s="1"/>
  <c r="M43" i="20"/>
  <c r="M54" i="20" s="1"/>
  <c r="M57" i="20" s="1"/>
  <c r="B43" i="20"/>
  <c r="B54" i="20" s="1"/>
  <c r="B57" i="20" s="1"/>
  <c r="E43" i="20"/>
  <c r="E54" i="20" s="1"/>
  <c r="E57" i="20" s="1"/>
  <c r="N43" i="20"/>
  <c r="N54" i="20" s="1"/>
  <c r="N57" i="20" s="1"/>
  <c r="W43" i="20"/>
  <c r="W54" i="20" s="1"/>
  <c r="W57" i="20" s="1"/>
  <c r="L43" i="20"/>
  <c r="L54" i="20" s="1"/>
  <c r="L57" i="20" s="1"/>
  <c r="V43" i="20"/>
  <c r="V54" i="20" s="1"/>
  <c r="V57" i="20" s="1"/>
  <c r="X43" i="20"/>
  <c r="X54" i="20" s="1"/>
  <c r="X57" i="20" s="1"/>
  <c r="Q43" i="20"/>
  <c r="Q54" i="20" s="1"/>
  <c r="Q57" i="20" s="1"/>
  <c r="O43" i="20"/>
  <c r="O54" i="20" s="1"/>
  <c r="O57" i="20" s="1"/>
  <c r="U43" i="20"/>
  <c r="T41" i="19" l="1"/>
  <c r="W41" i="19"/>
  <c r="Q41" i="19"/>
  <c r="P38" i="19"/>
  <c r="P54" i="19" s="1"/>
  <c r="P57" i="19" s="1"/>
  <c r="Q38" i="19"/>
  <c r="Q54" i="19" s="1"/>
  <c r="Q57" i="19" s="1"/>
  <c r="B38" i="19"/>
  <c r="R38" i="19"/>
  <c r="G38" i="19"/>
  <c r="C38" i="19"/>
  <c r="W38" i="19"/>
  <c r="W54" i="19" s="1"/>
  <c r="W57" i="19" s="1"/>
  <c r="S38" i="19"/>
  <c r="H38" i="19"/>
  <c r="D38" i="19"/>
  <c r="D54" i="19" s="1"/>
  <c r="D57" i="19" s="1"/>
  <c r="X38" i="19"/>
  <c r="G18" i="19"/>
  <c r="D5" i="14" s="1"/>
  <c r="I38" i="19"/>
  <c r="I54" i="19" s="1"/>
  <c r="I57" i="19" s="1"/>
  <c r="E38" i="19"/>
  <c r="E54" i="19" s="1"/>
  <c r="E57" i="19" s="1"/>
  <c r="J38" i="19"/>
  <c r="U38" i="19"/>
  <c r="U54" i="19" s="1"/>
  <c r="U57" i="19" s="1"/>
  <c r="T38" i="19"/>
  <c r="F38" i="19"/>
  <c r="K38" i="19"/>
  <c r="K54" i="19" s="1"/>
  <c r="K57" i="19" s="1"/>
  <c r="V38" i="19"/>
  <c r="L38" i="19"/>
  <c r="M38" i="19"/>
  <c r="N38" i="19"/>
  <c r="N54" i="19" s="1"/>
  <c r="N57" i="19" s="1"/>
  <c r="O38" i="19"/>
  <c r="J54" i="19"/>
  <c r="J57" i="19" s="1"/>
  <c r="R39" i="19"/>
  <c r="K39" i="19"/>
  <c r="C39" i="19"/>
  <c r="L39" i="19"/>
  <c r="L54" i="19" s="1"/>
  <c r="L57" i="19" s="1"/>
  <c r="S39" i="19"/>
  <c r="N39" i="19"/>
  <c r="D39" i="19"/>
  <c r="O39" i="19"/>
  <c r="T39" i="19"/>
  <c r="E39" i="19"/>
  <c r="U39" i="19"/>
  <c r="F39" i="19"/>
  <c r="V39" i="19"/>
  <c r="G39" i="19"/>
  <c r="G54" i="19" s="1"/>
  <c r="G57" i="19" s="1"/>
  <c r="W39" i="19"/>
  <c r="H39" i="19"/>
  <c r="P39" i="19"/>
  <c r="X39" i="19"/>
  <c r="Q39" i="19"/>
  <c r="M39" i="19"/>
  <c r="M54" i="19" s="1"/>
  <c r="M57" i="19" s="1"/>
  <c r="G19" i="19"/>
  <c r="D6" i="14" s="1"/>
  <c r="I39" i="19"/>
  <c r="B39" i="19"/>
  <c r="J39" i="19"/>
  <c r="C41" i="19"/>
  <c r="X41" i="19"/>
  <c r="O54" i="19"/>
  <c r="O57" i="19" s="1"/>
  <c r="V54" i="19"/>
  <c r="V57" i="19" s="1"/>
  <c r="S54" i="19"/>
  <c r="S57" i="19" s="1"/>
  <c r="H54" i="19"/>
  <c r="H57" i="19" s="1"/>
  <c r="F54" i="19"/>
  <c r="F57" i="19" s="1"/>
  <c r="B54" i="19"/>
  <c r="B57" i="19" s="1"/>
  <c r="T54" i="19"/>
  <c r="T57" i="19" s="1"/>
  <c r="R54" i="19"/>
  <c r="R57" i="19" s="1"/>
  <c r="X54" i="19"/>
  <c r="X57" i="19" s="1"/>
  <c r="C54" i="19"/>
  <c r="C57" i="19" s="1"/>
  <c r="Y57" i="20"/>
  <c r="M58" i="20" s="1"/>
  <c r="H58" i="20"/>
  <c r="Y57" i="19" l="1"/>
  <c r="R58" i="19" s="1"/>
  <c r="K58" i="19"/>
  <c r="V58" i="19"/>
  <c r="Q58" i="19"/>
  <c r="D58" i="19"/>
  <c r="P58" i="19"/>
  <c r="W58" i="19"/>
  <c r="E58" i="19"/>
  <c r="N58" i="19"/>
  <c r="T58" i="19"/>
  <c r="I58" i="19"/>
  <c r="U58" i="19"/>
  <c r="G58" i="19"/>
  <c r="J58" i="19"/>
  <c r="C58" i="19"/>
  <c r="B58" i="20"/>
  <c r="Q58" i="20"/>
  <c r="G58" i="20"/>
  <c r="L58" i="20"/>
  <c r="F58" i="20"/>
  <c r="O58" i="20"/>
  <c r="W58" i="20"/>
  <c r="K58" i="20"/>
  <c r="R58" i="20"/>
  <c r="I58" i="20"/>
  <c r="U58" i="20"/>
  <c r="N58" i="20"/>
  <c r="P58" i="20"/>
  <c r="T58" i="20"/>
  <c r="V58" i="20"/>
  <c r="C58" i="20"/>
  <c r="X58" i="20"/>
  <c r="E58" i="20"/>
  <c r="J58" i="20"/>
  <c r="D58" i="20"/>
  <c r="S58" i="20"/>
  <c r="F58" i="19" l="1"/>
  <c r="X58" i="19"/>
  <c r="M58" i="19"/>
  <c r="S58" i="19"/>
  <c r="L58" i="19"/>
  <c r="H58" i="19"/>
  <c r="Y58" i="19" s="1"/>
  <c r="R59" i="19" s="1"/>
  <c r="F13" i="19" s="1"/>
  <c r="B58" i="19"/>
  <c r="O58" i="19"/>
  <c r="V59" i="20"/>
  <c r="D13" i="20" s="1"/>
  <c r="W59" i="20"/>
  <c r="B13" i="20" s="1"/>
  <c r="O59" i="20"/>
  <c r="G9" i="20" s="1"/>
  <c r="Y58" i="20"/>
  <c r="M59" i="20" s="1"/>
  <c r="G7" i="20" s="1"/>
  <c r="Q59" i="20"/>
  <c r="G11" i="20" s="1"/>
  <c r="E59" i="20"/>
  <c r="B11" i="20" s="1"/>
  <c r="L59" i="20"/>
  <c r="F7" i="20" s="1"/>
  <c r="H59" i="20"/>
  <c r="D7" i="20" s="1"/>
  <c r="K59" i="20"/>
  <c r="D11" i="20" s="1"/>
  <c r="P59" i="20"/>
  <c r="F11" i="20" s="1"/>
  <c r="R59" i="20"/>
  <c r="F13" i="20" s="1"/>
  <c r="G59" i="20"/>
  <c r="D9" i="20" s="1"/>
  <c r="D59" i="20"/>
  <c r="C9" i="20" s="1"/>
  <c r="J59" i="19" l="1"/>
  <c r="E9" i="19" s="1"/>
  <c r="V59" i="19"/>
  <c r="D13" i="19" s="1"/>
  <c r="U59" i="19"/>
  <c r="E11" i="19" s="1"/>
  <c r="G59" i="19"/>
  <c r="D9" i="19" s="1"/>
  <c r="P59" i="19"/>
  <c r="F11" i="19" s="1"/>
  <c r="O59" i="19"/>
  <c r="G9" i="19" s="1"/>
  <c r="H59" i="19"/>
  <c r="D7" i="19" s="1"/>
  <c r="F59" i="19"/>
  <c r="C11" i="19" s="1"/>
  <c r="C59" i="19"/>
  <c r="B9" i="19" s="1"/>
  <c r="W5" i="30" s="1"/>
  <c r="B59" i="19"/>
  <c r="B7" i="19" s="1"/>
  <c r="L59" i="19"/>
  <c r="F7" i="19" s="1"/>
  <c r="W59" i="19"/>
  <c r="B13" i="19" s="1"/>
  <c r="T59" i="19"/>
  <c r="S59" i="19"/>
  <c r="G13" i="19" s="1"/>
  <c r="Q59" i="19"/>
  <c r="G11" i="19" s="1"/>
  <c r="M59" i="19"/>
  <c r="G7" i="19" s="1"/>
  <c r="D59" i="19"/>
  <c r="C9" i="19" s="1"/>
  <c r="E59" i="19"/>
  <c r="B11" i="19" s="1"/>
  <c r="K59" i="19"/>
  <c r="D11" i="19" s="1"/>
  <c r="N59" i="19"/>
  <c r="F9" i="19" s="1"/>
  <c r="I59" i="19"/>
  <c r="E7" i="19" s="1"/>
  <c r="X59" i="19"/>
  <c r="C13" i="19" s="1"/>
  <c r="T59" i="20"/>
  <c r="N59" i="20"/>
  <c r="F9" i="20" s="1"/>
  <c r="I59" i="20"/>
  <c r="E7" i="20" s="1"/>
  <c r="U59" i="20"/>
  <c r="E11" i="20" s="1"/>
  <c r="D5" i="20"/>
  <c r="X6" i="30" s="1"/>
  <c r="S59" i="20"/>
  <c r="G13" i="20" s="1"/>
  <c r="F5" i="20" s="1"/>
  <c r="Y6" i="30" s="1"/>
  <c r="B59" i="20"/>
  <c r="B7" i="20" s="1"/>
  <c r="T6" i="30" s="1"/>
  <c r="C59" i="20"/>
  <c r="B9" i="20" s="1"/>
  <c r="W6" i="30" s="1"/>
  <c r="F59" i="20"/>
  <c r="C11" i="20" s="1"/>
  <c r="C7" i="20" s="1"/>
  <c r="U6" i="30" s="1"/>
  <c r="X59" i="20"/>
  <c r="C13" i="20" s="1"/>
  <c r="J59" i="20"/>
  <c r="E9" i="20" s="1"/>
  <c r="D5" i="19" l="1"/>
  <c r="X5" i="30" s="1"/>
  <c r="C7" i="19"/>
  <c r="U5" i="30" s="1"/>
  <c r="T5" i="30"/>
  <c r="B5" i="19"/>
  <c r="V5" i="30" s="1"/>
  <c r="F5" i="19"/>
  <c r="Y5" i="30" s="1"/>
  <c r="B5" i="20"/>
  <c r="V6" i="30" s="1"/>
</calcChain>
</file>

<file path=xl/sharedStrings.xml><?xml version="1.0" encoding="utf-8"?>
<sst xmlns="http://schemas.openxmlformats.org/spreadsheetml/2006/main" count="1057" uniqueCount="196">
  <si>
    <r>
      <t>SiO</t>
    </r>
    <r>
      <rPr>
        <b/>
        <sz val="7.9"/>
        <color indexed="8"/>
        <rFont val="Arial"/>
        <family val="2"/>
      </rPr>
      <t xml:space="preserve">2 </t>
    </r>
  </si>
  <si>
    <r>
      <t>B</t>
    </r>
    <r>
      <rPr>
        <b/>
        <vertAlign val="subscript"/>
        <sz val="11.7"/>
        <color indexed="8"/>
        <rFont val="Arial"/>
        <family val="2"/>
      </rPr>
      <t>2</t>
    </r>
    <r>
      <rPr>
        <b/>
        <sz val="11.7"/>
        <color indexed="8"/>
        <rFont val="Arial"/>
        <family val="2"/>
      </rPr>
      <t>O</t>
    </r>
    <r>
      <rPr>
        <b/>
        <vertAlign val="subscript"/>
        <sz val="11.7"/>
        <color indexed="8"/>
        <rFont val="Arial"/>
        <family val="2"/>
      </rPr>
      <t>3</t>
    </r>
  </si>
  <si>
    <r>
      <t>Al</t>
    </r>
    <r>
      <rPr>
        <b/>
        <sz val="7.9"/>
        <color indexed="8"/>
        <rFont val="Arial"/>
        <family val="2"/>
      </rPr>
      <t>2</t>
    </r>
    <r>
      <rPr>
        <b/>
        <sz val="11.7"/>
        <color indexed="8"/>
        <rFont val="Arial"/>
        <family val="2"/>
      </rPr>
      <t>O</t>
    </r>
    <r>
      <rPr>
        <b/>
        <sz val="7.9"/>
        <color indexed="8"/>
        <rFont val="Arial"/>
        <family val="2"/>
      </rPr>
      <t xml:space="preserve">3 </t>
    </r>
  </si>
  <si>
    <r>
      <t>Li</t>
    </r>
    <r>
      <rPr>
        <b/>
        <vertAlign val="subscript"/>
        <sz val="11.7"/>
        <color indexed="8"/>
        <rFont val="Arial"/>
        <family val="2"/>
      </rPr>
      <t>2</t>
    </r>
    <r>
      <rPr>
        <b/>
        <sz val="11.7"/>
        <color indexed="8"/>
        <rFont val="Arial"/>
        <family val="2"/>
      </rPr>
      <t>O</t>
    </r>
  </si>
  <si>
    <r>
      <t>Na</t>
    </r>
    <r>
      <rPr>
        <b/>
        <sz val="7.9"/>
        <color indexed="8"/>
        <rFont val="Arial"/>
        <family val="2"/>
      </rPr>
      <t>2</t>
    </r>
    <r>
      <rPr>
        <b/>
        <sz val="11.7"/>
        <color indexed="8"/>
        <rFont val="Arial"/>
        <family val="2"/>
      </rPr>
      <t xml:space="preserve">O </t>
    </r>
  </si>
  <si>
    <r>
      <t>K</t>
    </r>
    <r>
      <rPr>
        <b/>
        <sz val="7.9"/>
        <color indexed="8"/>
        <rFont val="Arial"/>
        <family val="2"/>
      </rPr>
      <t>2</t>
    </r>
    <r>
      <rPr>
        <b/>
        <sz val="11.7"/>
        <color indexed="8"/>
        <rFont val="Arial"/>
        <family val="2"/>
      </rPr>
      <t xml:space="preserve">O </t>
    </r>
  </si>
  <si>
    <r>
      <t>MgO</t>
    </r>
    <r>
      <rPr>
        <b/>
        <sz val="7.9"/>
        <color indexed="8"/>
        <rFont val="Arial"/>
        <family val="2"/>
      </rPr>
      <t xml:space="preserve"> </t>
    </r>
  </si>
  <si>
    <r>
      <t>CaO</t>
    </r>
    <r>
      <rPr>
        <b/>
        <sz val="7.9"/>
        <color indexed="8"/>
        <rFont val="Arial"/>
        <family val="2"/>
      </rPr>
      <t xml:space="preserve"> </t>
    </r>
  </si>
  <si>
    <t>SrO</t>
  </si>
  <si>
    <t xml:space="preserve">BaO </t>
  </si>
  <si>
    <t>ZnO</t>
  </si>
  <si>
    <r>
      <t>TiO</t>
    </r>
    <r>
      <rPr>
        <b/>
        <sz val="7.9"/>
        <color indexed="8"/>
        <rFont val="Arial"/>
        <family val="2"/>
      </rPr>
      <t>2</t>
    </r>
  </si>
  <si>
    <t>Alkali Metals</t>
  </si>
  <si>
    <t>:1</t>
  </si>
  <si>
    <t>Desired Batch Size</t>
  </si>
  <si>
    <t>Neph Sy</t>
  </si>
  <si>
    <t xml:space="preserve">Custer </t>
  </si>
  <si>
    <t>Cornwall</t>
  </si>
  <si>
    <t>Kona F-4</t>
  </si>
  <si>
    <t>Wollastonite</t>
  </si>
  <si>
    <t xml:space="preserve">Soda Ash </t>
  </si>
  <si>
    <t xml:space="preserve">Pearl Ash </t>
  </si>
  <si>
    <t>EPK</t>
  </si>
  <si>
    <t>Grolleg</t>
  </si>
  <si>
    <t>Calcined Kaolin</t>
  </si>
  <si>
    <t>OM4</t>
  </si>
  <si>
    <t xml:space="preserve">Flint </t>
  </si>
  <si>
    <t>Bentonite</t>
  </si>
  <si>
    <t>Total</t>
  </si>
  <si>
    <t>BaO</t>
  </si>
  <si>
    <t>M.W.</t>
  </si>
  <si>
    <t>Insert Amount</t>
  </si>
  <si>
    <t xml:space="preserve">Select Material </t>
  </si>
  <si>
    <t>Click on cell to expose drop down menu</t>
  </si>
  <si>
    <t xml:space="preserve">MgO </t>
  </si>
  <si>
    <t xml:space="preserve">CaO </t>
  </si>
  <si>
    <r>
      <t>B</t>
    </r>
    <r>
      <rPr>
        <b/>
        <vertAlign val="subscript"/>
        <sz val="16"/>
        <color indexed="8"/>
        <rFont val="Arial"/>
        <family val="2"/>
      </rPr>
      <t>2</t>
    </r>
    <r>
      <rPr>
        <b/>
        <sz val="16"/>
        <color indexed="8"/>
        <rFont val="Arial"/>
        <family val="2"/>
      </rPr>
      <t>O</t>
    </r>
    <r>
      <rPr>
        <b/>
        <vertAlign val="subscript"/>
        <sz val="16"/>
        <color indexed="8"/>
        <rFont val="Arial"/>
        <family val="2"/>
      </rPr>
      <t>3</t>
    </r>
  </si>
  <si>
    <r>
      <t>Li</t>
    </r>
    <r>
      <rPr>
        <b/>
        <vertAlign val="subscript"/>
        <sz val="16"/>
        <color indexed="8"/>
        <rFont val="Arial"/>
        <family val="2"/>
      </rPr>
      <t>2</t>
    </r>
    <r>
      <rPr>
        <b/>
        <sz val="16"/>
        <color indexed="8"/>
        <rFont val="Arial"/>
        <family val="2"/>
      </rPr>
      <t>O</t>
    </r>
  </si>
  <si>
    <t>Strontium Carb</t>
  </si>
  <si>
    <t>Barium Carb</t>
  </si>
  <si>
    <t>Zinc Oxide</t>
  </si>
  <si>
    <t>Boric Acid</t>
  </si>
  <si>
    <t>Gerstly Borate</t>
  </si>
  <si>
    <t>Dolomite</t>
  </si>
  <si>
    <t>Material</t>
  </si>
  <si>
    <t>K-200</t>
  </si>
  <si>
    <t>Plastic Vitrox</t>
  </si>
  <si>
    <t>NC-4</t>
  </si>
  <si>
    <t>Minspar</t>
  </si>
  <si>
    <t>Spodumene</t>
  </si>
  <si>
    <t>Petalite</t>
  </si>
  <si>
    <t>Whiting</t>
  </si>
  <si>
    <t>Lithium Carb</t>
  </si>
  <si>
    <t>Mag Carbonate</t>
  </si>
  <si>
    <t>Bone Ash</t>
  </si>
  <si>
    <t>Cryolite</t>
  </si>
  <si>
    <t>Flurospar</t>
  </si>
  <si>
    <t>Tile 6</t>
  </si>
  <si>
    <t>Helmar</t>
  </si>
  <si>
    <t>Kaopaque</t>
  </si>
  <si>
    <t>Tenn #10</t>
  </si>
  <si>
    <t>Hawthorn Bond</t>
  </si>
  <si>
    <t>Peerless</t>
  </si>
  <si>
    <t>C &amp; C</t>
  </si>
  <si>
    <t>Foundry Hill Creme</t>
  </si>
  <si>
    <t>AP Green Missouri</t>
  </si>
  <si>
    <t>XX Sagger</t>
  </si>
  <si>
    <t>Salt Lick</t>
  </si>
  <si>
    <t>Red Art</t>
  </si>
  <si>
    <t>Gold Art</t>
  </si>
  <si>
    <t xml:space="preserve">Barnard </t>
  </si>
  <si>
    <t>Albany Slip</t>
  </si>
  <si>
    <t>Alfred Shale</t>
  </si>
  <si>
    <t>Pyrax</t>
  </si>
  <si>
    <t>Borax</t>
  </si>
  <si>
    <t>Laguna Borate</t>
  </si>
  <si>
    <t>Superpax</t>
  </si>
  <si>
    <r>
      <t>ZrO</t>
    </r>
    <r>
      <rPr>
        <b/>
        <vertAlign val="subscript"/>
        <sz val="11.7"/>
        <color indexed="8"/>
        <rFont val="Arial"/>
        <family val="2"/>
      </rPr>
      <t>2</t>
    </r>
  </si>
  <si>
    <r>
      <t>Al</t>
    </r>
    <r>
      <rPr>
        <b/>
        <vertAlign val="subscript"/>
        <sz val="16"/>
        <color indexed="8"/>
        <rFont val="Arial"/>
        <family val="2"/>
      </rPr>
      <t>2</t>
    </r>
    <r>
      <rPr>
        <b/>
        <sz val="16"/>
        <color indexed="8"/>
        <rFont val="Arial"/>
        <family val="2"/>
      </rPr>
      <t>O</t>
    </r>
    <r>
      <rPr>
        <b/>
        <vertAlign val="subscript"/>
        <sz val="16"/>
        <color indexed="8"/>
        <rFont val="Arial"/>
        <family val="2"/>
      </rPr>
      <t>3</t>
    </r>
    <r>
      <rPr>
        <b/>
        <sz val="16"/>
        <color indexed="8"/>
        <rFont val="Arial"/>
        <family val="2"/>
      </rPr>
      <t xml:space="preserve"> </t>
    </r>
  </si>
  <si>
    <r>
      <t>Na</t>
    </r>
    <r>
      <rPr>
        <b/>
        <vertAlign val="subscript"/>
        <sz val="16"/>
        <color indexed="8"/>
        <rFont val="Arial"/>
        <family val="2"/>
      </rPr>
      <t>2</t>
    </r>
    <r>
      <rPr>
        <b/>
        <sz val="16"/>
        <color indexed="8"/>
        <rFont val="Arial"/>
        <family val="2"/>
      </rPr>
      <t xml:space="preserve">O </t>
    </r>
  </si>
  <si>
    <r>
      <t>K</t>
    </r>
    <r>
      <rPr>
        <b/>
        <vertAlign val="subscript"/>
        <sz val="16"/>
        <color indexed="8"/>
        <rFont val="Arial"/>
        <family val="2"/>
      </rPr>
      <t>2</t>
    </r>
    <r>
      <rPr>
        <b/>
        <sz val="16"/>
        <color indexed="8"/>
        <rFont val="Arial"/>
        <family val="2"/>
      </rPr>
      <t xml:space="preserve">O </t>
    </r>
  </si>
  <si>
    <t>Glaze Formula</t>
  </si>
  <si>
    <t>Light Rutile</t>
  </si>
  <si>
    <t>Black Copper Oxide</t>
  </si>
  <si>
    <t>Red Iron Oxide</t>
  </si>
  <si>
    <t>Manganese Dioxide</t>
  </si>
  <si>
    <t>Illmenite</t>
  </si>
  <si>
    <t>Titanium Dioxide</t>
  </si>
  <si>
    <t>Tin Oxide</t>
  </si>
  <si>
    <t>Yellow Ochre</t>
  </si>
  <si>
    <t>Vanadum Pentoxide</t>
  </si>
  <si>
    <t>Copper Carbonate</t>
  </si>
  <si>
    <t>Cobalt Carbonate</t>
  </si>
  <si>
    <t>Cobalt Oxide</t>
  </si>
  <si>
    <t>Chrome Oxide</t>
  </si>
  <si>
    <t>Stain</t>
  </si>
  <si>
    <t>Nickle Carbonate (Black)</t>
  </si>
  <si>
    <t>Nickle Oxide (Green)</t>
  </si>
  <si>
    <t>Red Copper Oxide</t>
  </si>
  <si>
    <t>Black Iron Oxide</t>
  </si>
  <si>
    <t>Silicon Carbide</t>
  </si>
  <si>
    <t>Cone</t>
  </si>
  <si>
    <t>01</t>
  </si>
  <si>
    <t>02</t>
  </si>
  <si>
    <t>03</t>
  </si>
  <si>
    <t>04</t>
  </si>
  <si>
    <t>05</t>
  </si>
  <si>
    <t>06</t>
  </si>
  <si>
    <t>07</t>
  </si>
  <si>
    <t>08</t>
  </si>
  <si>
    <t>09</t>
  </si>
  <si>
    <t>010</t>
  </si>
  <si>
    <t>CMC</t>
  </si>
  <si>
    <t>G200HP</t>
  </si>
  <si>
    <r>
      <t xml:space="preserve">  SiO</t>
    </r>
    <r>
      <rPr>
        <b/>
        <vertAlign val="subscript"/>
        <sz val="16"/>
        <rFont val="Arial"/>
        <family val="2"/>
      </rPr>
      <t>2</t>
    </r>
    <r>
      <rPr>
        <b/>
        <sz val="16"/>
        <rFont val="Arial"/>
        <family val="2"/>
      </rPr>
      <t>/Al Ratio</t>
    </r>
  </si>
  <si>
    <t>Cadycal</t>
  </si>
  <si>
    <t>Ferro CC-263</t>
  </si>
  <si>
    <t>Calcium Borate</t>
  </si>
  <si>
    <t>Yellow Banks 401</t>
  </si>
  <si>
    <t>Yellow Banks 101</t>
  </si>
  <si>
    <t>VeeGum</t>
  </si>
  <si>
    <t>G200 EU</t>
  </si>
  <si>
    <t xml:space="preserve">NYTalc </t>
  </si>
  <si>
    <t>Silverline Talc</t>
  </si>
  <si>
    <t>Gleason Ball</t>
  </si>
  <si>
    <t>Aluminia Oxide</t>
  </si>
  <si>
    <r>
      <t>SiO</t>
    </r>
    <r>
      <rPr>
        <b/>
        <vertAlign val="subscript"/>
        <sz val="16"/>
        <color indexed="8"/>
        <rFont val="Arial"/>
        <family val="2"/>
      </rPr>
      <t>2</t>
    </r>
    <r>
      <rPr>
        <b/>
        <sz val="16"/>
        <color indexed="8"/>
        <rFont val="Arial"/>
        <family val="2"/>
      </rPr>
      <t xml:space="preserve"> </t>
    </r>
  </si>
  <si>
    <t>Mahavir</t>
  </si>
  <si>
    <t>Fortispar</t>
  </si>
  <si>
    <r>
      <t>MnO</t>
    </r>
    <r>
      <rPr>
        <b/>
        <vertAlign val="subscript"/>
        <sz val="16"/>
        <rFont val="Arial"/>
        <family val="2"/>
      </rPr>
      <t>2</t>
    </r>
  </si>
  <si>
    <t>PbO</t>
  </si>
  <si>
    <r>
      <t>TiO</t>
    </r>
    <r>
      <rPr>
        <b/>
        <vertAlign val="subscript"/>
        <sz val="16"/>
        <rFont val="Arial"/>
        <family val="2"/>
      </rPr>
      <t>2</t>
    </r>
  </si>
  <si>
    <t>100 %             Batch</t>
  </si>
  <si>
    <r>
      <t>MnO</t>
    </r>
    <r>
      <rPr>
        <b/>
        <vertAlign val="subscript"/>
        <sz val="11.7"/>
        <color indexed="8"/>
        <rFont val="Arial"/>
        <family val="2"/>
      </rPr>
      <t>2</t>
    </r>
  </si>
  <si>
    <t>Alberta Slip</t>
  </si>
  <si>
    <t>Mullite</t>
  </si>
  <si>
    <t>Spanish RIO</t>
  </si>
  <si>
    <t>Iron Sulfate</t>
  </si>
  <si>
    <t xml:space="preserve">Written by Matthew Katz                             matt@ceramicmaterialsworkshop.com                                                                                                     </t>
  </si>
  <si>
    <t>Rutile</t>
  </si>
  <si>
    <t>CuO</t>
  </si>
  <si>
    <t>NiO</t>
  </si>
  <si>
    <r>
      <t>Bi</t>
    </r>
    <r>
      <rPr>
        <b/>
        <vertAlign val="subscript"/>
        <sz val="16"/>
        <color indexed="8"/>
        <rFont val="Arial"/>
        <family val="2"/>
      </rPr>
      <t>2</t>
    </r>
    <r>
      <rPr>
        <b/>
        <sz val="16"/>
        <color indexed="8"/>
        <rFont val="Arial"/>
        <family val="2"/>
      </rPr>
      <t>O</t>
    </r>
    <r>
      <rPr>
        <b/>
        <vertAlign val="subscript"/>
        <sz val="16"/>
        <color indexed="8"/>
        <rFont val="Arial"/>
        <family val="2"/>
      </rPr>
      <t>3</t>
    </r>
  </si>
  <si>
    <t>CoO</t>
  </si>
  <si>
    <r>
      <t>Bi</t>
    </r>
    <r>
      <rPr>
        <b/>
        <vertAlign val="subscript"/>
        <sz val="11.7"/>
        <color indexed="8"/>
        <rFont val="Arial"/>
        <family val="2"/>
      </rPr>
      <t>2</t>
    </r>
    <r>
      <rPr>
        <b/>
        <sz val="11.7"/>
        <color indexed="8"/>
        <rFont val="Arial"/>
        <family val="2"/>
      </rPr>
      <t>O</t>
    </r>
    <r>
      <rPr>
        <b/>
        <vertAlign val="subscript"/>
        <sz val="11.7"/>
        <color indexed="8"/>
        <rFont val="Arial"/>
        <family val="2"/>
      </rPr>
      <t>3</t>
    </r>
  </si>
  <si>
    <t>3124 (Frit)</t>
  </si>
  <si>
    <t>Talc (Amtalc)</t>
  </si>
  <si>
    <t>3110 (Frit)</t>
  </si>
  <si>
    <t>3134 (Frit)</t>
  </si>
  <si>
    <t>3195 (Frit)</t>
  </si>
  <si>
    <t>F-367 (Frit)</t>
  </si>
  <si>
    <t>F-12 (Frit)</t>
  </si>
  <si>
    <t>F-13 (Frit)</t>
  </si>
  <si>
    <t>3269 (Frit)</t>
  </si>
  <si>
    <t>3249 (Frit)</t>
  </si>
  <si>
    <t>3221 (Frit)</t>
  </si>
  <si>
    <t>3185(Frit)</t>
  </si>
  <si>
    <t>Ravensgrag Slip</t>
  </si>
  <si>
    <r>
      <t>P</t>
    </r>
    <r>
      <rPr>
        <b/>
        <vertAlign val="subscript"/>
        <sz val="16"/>
        <rFont val="Arial"/>
        <family val="2"/>
      </rPr>
      <t>2</t>
    </r>
    <r>
      <rPr>
        <b/>
        <sz val="16"/>
        <rFont val="Arial"/>
        <family val="2"/>
      </rPr>
      <t>O</t>
    </r>
    <r>
      <rPr>
        <b/>
        <vertAlign val="subscript"/>
        <sz val="16"/>
        <rFont val="Arial"/>
        <family val="2"/>
      </rPr>
      <t>5</t>
    </r>
  </si>
  <si>
    <r>
      <t>SnO</t>
    </r>
    <r>
      <rPr>
        <b/>
        <vertAlign val="subscript"/>
        <sz val="16"/>
        <rFont val="Arial"/>
        <family val="2"/>
      </rPr>
      <t>2</t>
    </r>
  </si>
  <si>
    <r>
      <t>P</t>
    </r>
    <r>
      <rPr>
        <b/>
        <vertAlign val="subscript"/>
        <sz val="11.7"/>
        <color indexed="8"/>
        <rFont val="Arial"/>
        <family val="2"/>
      </rPr>
      <t>2</t>
    </r>
    <r>
      <rPr>
        <b/>
        <sz val="11.7"/>
        <color indexed="8"/>
        <rFont val="Arial"/>
        <family val="2"/>
      </rPr>
      <t>O</t>
    </r>
    <r>
      <rPr>
        <b/>
        <vertAlign val="subscript"/>
        <sz val="11.7"/>
        <color indexed="8"/>
        <rFont val="Arial"/>
        <family val="2"/>
      </rPr>
      <t>5</t>
    </r>
  </si>
  <si>
    <r>
      <t>SnO</t>
    </r>
    <r>
      <rPr>
        <b/>
        <vertAlign val="subscript"/>
        <sz val="11.7"/>
        <color indexed="8"/>
        <rFont val="Arial"/>
        <family val="2"/>
      </rPr>
      <t>2</t>
    </r>
  </si>
  <si>
    <r>
      <t>ZrO</t>
    </r>
    <r>
      <rPr>
        <b/>
        <vertAlign val="subscript"/>
        <sz val="16"/>
        <color indexed="8"/>
        <rFont val="Arial"/>
        <family val="2"/>
      </rPr>
      <t>2</t>
    </r>
  </si>
  <si>
    <r>
      <t>Cr</t>
    </r>
    <r>
      <rPr>
        <b/>
        <vertAlign val="subscript"/>
        <sz val="16"/>
        <color indexed="8"/>
        <rFont val="Arial"/>
        <family val="2"/>
      </rPr>
      <t>2</t>
    </r>
    <r>
      <rPr>
        <b/>
        <sz val="16"/>
        <color indexed="8"/>
        <rFont val="Arial"/>
        <family val="2"/>
      </rPr>
      <t>O</t>
    </r>
    <r>
      <rPr>
        <b/>
        <vertAlign val="subscript"/>
        <sz val="16"/>
        <color indexed="8"/>
        <rFont val="Arial"/>
        <family val="2"/>
      </rPr>
      <t>3</t>
    </r>
  </si>
  <si>
    <r>
      <t>Cr</t>
    </r>
    <r>
      <rPr>
        <b/>
        <vertAlign val="subscript"/>
        <sz val="11.5"/>
        <color indexed="8"/>
        <rFont val="Arial"/>
        <family val="2"/>
      </rPr>
      <t>2</t>
    </r>
    <r>
      <rPr>
        <b/>
        <sz val="11.5"/>
        <color indexed="8"/>
        <rFont val="Arial"/>
        <family val="2"/>
      </rPr>
      <t>O</t>
    </r>
    <r>
      <rPr>
        <b/>
        <vertAlign val="subscript"/>
        <sz val="11.5"/>
        <color indexed="8"/>
        <rFont val="Arial"/>
        <family val="2"/>
      </rPr>
      <t>3</t>
    </r>
  </si>
  <si>
    <t>Notes</t>
  </si>
  <si>
    <t>Yellow Iron Oxide</t>
  </si>
  <si>
    <t>Manganese Oxide</t>
  </si>
  <si>
    <t>Manganese Carb</t>
  </si>
  <si>
    <t>Bismuth Subnitrate</t>
  </si>
  <si>
    <t>F-644</t>
  </si>
  <si>
    <t>Alumina Hydrate</t>
  </si>
  <si>
    <t>Glaze</t>
  </si>
  <si>
    <t xml:space="preserve"> </t>
  </si>
  <si>
    <r>
      <t>Collective "Al</t>
    </r>
    <r>
      <rPr>
        <b/>
        <vertAlign val="subscript"/>
        <sz val="14"/>
        <color indexed="8"/>
        <rFont val="Arial"/>
        <family val="2"/>
      </rPr>
      <t>2</t>
    </r>
    <r>
      <rPr>
        <b/>
        <sz val="14"/>
        <color indexed="8"/>
        <rFont val="Arial"/>
        <family val="2"/>
      </rPr>
      <t>O</t>
    </r>
    <r>
      <rPr>
        <b/>
        <vertAlign val="subscript"/>
        <sz val="14"/>
        <color indexed="8"/>
        <rFont val="Arial"/>
        <family val="2"/>
      </rPr>
      <t>3</t>
    </r>
    <r>
      <rPr>
        <b/>
        <sz val="14"/>
        <color indexed="8"/>
        <rFont val="Arial"/>
        <family val="2"/>
      </rPr>
      <t>"</t>
    </r>
  </si>
  <si>
    <r>
      <t>SiO</t>
    </r>
    <r>
      <rPr>
        <b/>
        <vertAlign val="subscript"/>
        <sz val="10"/>
        <rFont val="Arial"/>
        <family val="2"/>
      </rPr>
      <t>2</t>
    </r>
  </si>
  <si>
    <r>
      <t>Al</t>
    </r>
    <r>
      <rPr>
        <b/>
        <vertAlign val="subscript"/>
        <sz val="10"/>
        <rFont val="Arial"/>
        <family val="2"/>
      </rPr>
      <t>2</t>
    </r>
    <r>
      <rPr>
        <b/>
        <sz val="10"/>
        <rFont val="Arial"/>
        <family val="2"/>
        <charset val="238"/>
      </rPr>
      <t>O</t>
    </r>
    <r>
      <rPr>
        <b/>
        <vertAlign val="subscript"/>
        <sz val="10"/>
        <rFont val="Arial"/>
        <family val="2"/>
      </rPr>
      <t>3</t>
    </r>
  </si>
  <si>
    <r>
      <rPr>
        <b/>
        <sz val="10"/>
        <rFont val="Arial"/>
        <family val="2"/>
      </rPr>
      <t>B</t>
    </r>
    <r>
      <rPr>
        <b/>
        <vertAlign val="subscript"/>
        <sz val="10"/>
        <rFont val="Arial"/>
        <family val="2"/>
      </rPr>
      <t>2</t>
    </r>
    <r>
      <rPr>
        <b/>
        <sz val="10"/>
        <rFont val="Arial"/>
        <family val="2"/>
        <charset val="238"/>
      </rPr>
      <t>O3</t>
    </r>
  </si>
  <si>
    <t>Ratio</t>
  </si>
  <si>
    <r>
      <t>R</t>
    </r>
    <r>
      <rPr>
        <b/>
        <vertAlign val="subscript"/>
        <sz val="10"/>
        <rFont val="Arial"/>
        <family val="2"/>
      </rPr>
      <t>2</t>
    </r>
    <r>
      <rPr>
        <b/>
        <sz val="10"/>
        <rFont val="Arial"/>
        <family val="2"/>
        <charset val="238"/>
      </rPr>
      <t>0</t>
    </r>
  </si>
  <si>
    <t>RO</t>
  </si>
  <si>
    <t>Temp C</t>
  </si>
  <si>
    <t>F-413 (Frit)</t>
  </si>
  <si>
    <t>Trisodium Phosphate</t>
  </si>
  <si>
    <t>Alkaline Earths</t>
  </si>
  <si>
    <t>Wood Ash</t>
  </si>
  <si>
    <t>FeO</t>
  </si>
  <si>
    <t>Fe2O3</t>
  </si>
  <si>
    <r>
      <t>Fe</t>
    </r>
    <r>
      <rPr>
        <b/>
        <sz val="7.9"/>
        <color indexed="8"/>
        <rFont val="Arial"/>
        <family val="2"/>
      </rPr>
      <t>2</t>
    </r>
    <r>
      <rPr>
        <b/>
        <sz val="11.7"/>
        <color indexed="8"/>
        <rFont val="Arial"/>
        <family val="2"/>
      </rPr>
      <t>O</t>
    </r>
    <r>
      <rPr>
        <b/>
        <sz val="7.9"/>
        <color indexed="8"/>
        <rFont val="Arial"/>
        <family val="2"/>
      </rPr>
      <t>3</t>
    </r>
  </si>
  <si>
    <r>
      <t>Fe</t>
    </r>
    <r>
      <rPr>
        <b/>
        <vertAlign val="subscript"/>
        <sz val="16"/>
        <rFont val="Arial"/>
        <family val="2"/>
      </rPr>
      <t>2</t>
    </r>
    <r>
      <rPr>
        <b/>
        <sz val="16"/>
        <rFont val="Arial"/>
        <family val="2"/>
      </rPr>
      <t>O</t>
    </r>
    <r>
      <rPr>
        <b/>
        <vertAlign val="subscript"/>
        <sz val="16"/>
        <rFont val="Arial"/>
        <family val="2"/>
      </rPr>
      <t>3</t>
    </r>
  </si>
  <si>
    <t>3289 (Frit)</t>
  </si>
  <si>
    <t>Zircopax</t>
  </si>
  <si>
    <t>F-620 (Frit)</t>
  </si>
  <si>
    <t>010119</t>
  </si>
  <si>
    <t>Gillespie Borate</t>
  </si>
  <si>
    <t>F-18 (Frit)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</si>
</sst>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
  </numFmts>
  <fonts count="30" x14ac:knownFonts="1">
    <font>
      <sz val="10"/>
      <name val="Arial"/>
    </font>
    <font>
      <sz val="11"/>
      <color theme="1"/>
      <name val="Calibri"/>
      <family val="2"/>
      <scheme val="minor"/>
    </font>
    <font>
      <b/>
      <sz val="36"/>
      <name val="Arial"/>
      <family val="2"/>
    </font>
    <font>
      <b/>
      <sz val="10"/>
      <name val="Arial"/>
      <family val="2"/>
    </font>
    <font>
      <b/>
      <sz val="14"/>
      <name val="Arial"/>
      <family val="2"/>
    </font>
    <font>
      <b/>
      <sz val="11.7"/>
      <color indexed="8"/>
      <name val="Arial"/>
      <family val="2"/>
    </font>
    <font>
      <b/>
      <sz val="7.9"/>
      <color indexed="8"/>
      <name val="Arial"/>
      <family val="2"/>
    </font>
    <font>
      <b/>
      <vertAlign val="subscript"/>
      <sz val="11.7"/>
      <color indexed="8"/>
      <name val="Arial"/>
      <family val="2"/>
    </font>
    <font>
      <b/>
      <sz val="11.7"/>
      <name val="Arial"/>
      <family val="2"/>
    </font>
    <font>
      <sz val="10"/>
      <name val="Arial"/>
      <family val="2"/>
    </font>
    <font>
      <b/>
      <sz val="16"/>
      <name val="Arial"/>
      <family val="2"/>
    </font>
    <font>
      <sz val="16"/>
      <name val="Arial"/>
      <family val="2"/>
    </font>
    <font>
      <b/>
      <sz val="12"/>
      <name val="Arial"/>
      <family val="2"/>
    </font>
    <font>
      <b/>
      <sz val="20"/>
      <name val="Arial"/>
      <family val="2"/>
    </font>
    <font>
      <b/>
      <vertAlign val="subscript"/>
      <sz val="16"/>
      <name val="Arial"/>
      <family val="2"/>
    </font>
    <font>
      <b/>
      <sz val="16"/>
      <color indexed="8"/>
      <name val="Arial"/>
      <family val="2"/>
    </font>
    <font>
      <b/>
      <vertAlign val="subscript"/>
      <sz val="16"/>
      <color indexed="8"/>
      <name val="Arial"/>
      <family val="2"/>
    </font>
    <font>
      <b/>
      <sz val="26"/>
      <name val="Arial"/>
      <family val="2"/>
    </font>
    <font>
      <b/>
      <sz val="72"/>
      <name val="Arial"/>
      <family val="2"/>
    </font>
    <font>
      <b/>
      <sz val="28"/>
      <name val="Arial"/>
      <family val="2"/>
    </font>
    <font>
      <b/>
      <sz val="22"/>
      <name val="Arial"/>
      <family val="2"/>
    </font>
    <font>
      <b/>
      <sz val="14"/>
      <color indexed="8"/>
      <name val="Arial"/>
      <family val="2"/>
    </font>
    <font>
      <b/>
      <vertAlign val="subscript"/>
      <sz val="14"/>
      <color indexed="8"/>
      <name val="Arial"/>
      <family val="2"/>
    </font>
    <font>
      <b/>
      <sz val="11.5"/>
      <color indexed="8"/>
      <name val="Arial"/>
      <family val="2"/>
    </font>
    <font>
      <b/>
      <vertAlign val="subscript"/>
      <sz val="11.5"/>
      <color indexed="8"/>
      <name val="Arial"/>
      <family val="2"/>
    </font>
    <font>
      <sz val="10"/>
      <name val="Arial"/>
      <family val="2"/>
      <charset val="238"/>
    </font>
    <font>
      <b/>
      <sz val="10"/>
      <name val="Arial"/>
      <family val="2"/>
      <charset val="238"/>
    </font>
    <font>
      <b/>
      <vertAlign val="subscript"/>
      <sz val="10"/>
      <name val="Arial"/>
      <family val="2"/>
    </font>
    <font>
      <b/>
      <sz val="11.5"/>
      <name val="Arial"/>
      <family val="2"/>
    </font>
    <font>
      <sz val="72"/>
      <name val="Arial"/>
      <family val="2"/>
    </font>
  </fonts>
  <fills count="1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00"/>
        <bgColor indexed="64"/>
      </patternFill>
    </fill>
    <fill>
      <patternFill patternType="solid">
        <fgColor rgb="FFCC99FF"/>
        <bgColor indexed="64"/>
      </patternFill>
    </fill>
    <fill>
      <patternFill patternType="solid">
        <fgColor rgb="FFFFCCFF"/>
        <bgColor indexed="64"/>
      </patternFill>
    </fill>
    <fill>
      <patternFill patternType="solid">
        <fgColor rgb="FF00B0F0"/>
        <bgColor indexed="64"/>
      </patternFill>
    </fill>
    <fill>
      <patternFill patternType="solid">
        <fgColor rgb="FFC4D303"/>
        <bgColor indexed="64"/>
      </patternFill>
    </fill>
    <fill>
      <patternFill patternType="solid">
        <fgColor rgb="FFA8E917"/>
        <bgColor indexed="64"/>
      </patternFill>
    </fill>
  </fills>
  <borders count="4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medium">
        <color auto="1"/>
      </right>
      <top/>
      <bottom style="thin">
        <color auto="1"/>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style="medium">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indexed="64"/>
      </bottom>
      <diagonal/>
    </border>
    <border>
      <left style="thin">
        <color auto="1"/>
      </left>
      <right/>
      <top style="medium">
        <color indexed="64"/>
      </top>
      <bottom style="medium">
        <color indexed="64"/>
      </bottom>
      <diagonal/>
    </border>
  </borders>
  <cellStyleXfs count="3">
    <xf numFmtId="0" fontId="0" fillId="0" borderId="0"/>
    <xf numFmtId="0" fontId="1" fillId="0" borderId="0"/>
    <xf numFmtId="0" fontId="9" fillId="0" borderId="0"/>
  </cellStyleXfs>
  <cellXfs count="287">
    <xf numFmtId="0" fontId="0" fillId="0" borderId="0" xfId="0"/>
    <xf numFmtId="0" fontId="0" fillId="0" borderId="0" xfId="0" applyAlignment="1">
      <alignment horizontal="right"/>
    </xf>
    <xf numFmtId="0" fontId="0" fillId="0" borderId="0" xfId="0" applyAlignment="1">
      <alignment horizontal="center"/>
    </xf>
    <xf numFmtId="0" fontId="0" fillId="0" borderId="28" xfId="0" applyBorder="1"/>
    <xf numFmtId="0" fontId="0" fillId="0" borderId="34" xfId="0" applyBorder="1" applyAlignment="1">
      <alignment horizontal="right"/>
    </xf>
    <xf numFmtId="0" fontId="0" fillId="0" borderId="34" xfId="0" applyBorder="1" applyAlignment="1">
      <alignment horizontal="center"/>
    </xf>
    <xf numFmtId="0" fontId="0" fillId="0" borderId="34" xfId="0" applyBorder="1"/>
    <xf numFmtId="0" fontId="0" fillId="0" borderId="31" xfId="0" applyBorder="1"/>
    <xf numFmtId="0" fontId="0" fillId="0" borderId="11" xfId="0" applyBorder="1"/>
    <xf numFmtId="1" fontId="3" fillId="0" borderId="0" xfId="0" applyNumberFormat="1" applyFont="1"/>
    <xf numFmtId="0" fontId="3" fillId="0" borderId="0" xfId="0" applyFont="1"/>
    <xf numFmtId="0" fontId="0" fillId="0" borderId="22" xfId="0" applyBorder="1"/>
    <xf numFmtId="0" fontId="0" fillId="0" borderId="7" xfId="0" applyBorder="1"/>
    <xf numFmtId="0" fontId="0" fillId="0" borderId="35" xfId="0" applyBorder="1" applyAlignment="1">
      <alignment horizontal="right"/>
    </xf>
    <xf numFmtId="0" fontId="0" fillId="0" borderId="35" xfId="0" applyBorder="1" applyAlignment="1">
      <alignment horizontal="center"/>
    </xf>
    <xf numFmtId="0" fontId="0" fillId="0" borderId="35" xfId="0" applyBorder="1"/>
    <xf numFmtId="0" fontId="0" fillId="0" borderId="30" xfId="0" applyBorder="1"/>
    <xf numFmtId="49" fontId="18" fillId="0" borderId="0" xfId="0" applyNumberFormat="1" applyFont="1" applyAlignment="1">
      <alignment horizontal="right"/>
    </xf>
    <xf numFmtId="2" fontId="3" fillId="0" borderId="0" xfId="0" applyNumberFormat="1" applyFont="1" applyAlignment="1">
      <alignment horizontal="center"/>
    </xf>
    <xf numFmtId="0" fontId="3" fillId="0" borderId="19" xfId="0" applyFont="1" applyBorder="1" applyAlignment="1">
      <alignment horizontal="right"/>
    </xf>
    <xf numFmtId="0" fontId="3" fillId="0" borderId="0" xfId="0" applyFont="1" applyAlignment="1">
      <alignment horizontal="right"/>
    </xf>
    <xf numFmtId="0" fontId="3" fillId="0" borderId="0" xfId="0" applyFont="1" applyAlignment="1">
      <alignment horizontal="center"/>
    </xf>
    <xf numFmtId="2" fontId="3" fillId="0" borderId="0" xfId="0" applyNumberFormat="1" applyFont="1" applyAlignment="1">
      <alignment horizontal="right"/>
    </xf>
    <xf numFmtId="2" fontId="3" fillId="0" borderId="21" xfId="0" applyNumberFormat="1" applyFont="1" applyBorder="1" applyAlignment="1">
      <alignment horizontal="center"/>
    </xf>
    <xf numFmtId="0" fontId="5" fillId="0" borderId="2" xfId="0" applyFont="1" applyBorder="1" applyAlignment="1">
      <alignment horizontal="center"/>
    </xf>
    <xf numFmtId="0" fontId="5" fillId="0" borderId="25" xfId="0" applyFont="1" applyBorder="1" applyAlignment="1">
      <alignment horizontal="center"/>
    </xf>
    <xf numFmtId="0" fontId="8" fillId="0" borderId="16" xfId="0" applyFont="1" applyBorder="1" applyAlignment="1">
      <alignment horizontal="center"/>
    </xf>
    <xf numFmtId="2" fontId="8" fillId="0" borderId="16" xfId="0" applyNumberFormat="1" applyFont="1" applyBorder="1" applyAlignment="1">
      <alignment horizontal="center"/>
    </xf>
    <xf numFmtId="2" fontId="8" fillId="0" borderId="26" xfId="0" applyNumberFormat="1" applyFont="1" applyBorder="1" applyAlignment="1">
      <alignment horizontal="center"/>
    </xf>
    <xf numFmtId="2" fontId="0" fillId="0" borderId="1" xfId="0" applyNumberFormat="1" applyBorder="1" applyAlignment="1">
      <alignment horizontal="center"/>
    </xf>
    <xf numFmtId="2" fontId="0" fillId="0" borderId="20" xfId="0" applyNumberFormat="1" applyBorder="1" applyAlignment="1">
      <alignment horizontal="center"/>
    </xf>
    <xf numFmtId="2" fontId="0" fillId="0" borderId="20" xfId="0" applyNumberFormat="1" applyBorder="1" applyAlignment="1">
      <alignment horizontal="center" vertical="center"/>
    </xf>
    <xf numFmtId="2" fontId="11" fillId="0" borderId="20" xfId="0" applyNumberFormat="1" applyFont="1" applyBorder="1" applyAlignment="1">
      <alignment horizontal="center"/>
    </xf>
    <xf numFmtId="0" fontId="0" fillId="2" borderId="0" xfId="0" applyFill="1" applyProtection="1">
      <protection locked="0"/>
    </xf>
    <xf numFmtId="0" fontId="10" fillId="2" borderId="0" xfId="0" applyFont="1" applyFill="1" applyProtection="1">
      <protection locked="0"/>
    </xf>
    <xf numFmtId="0" fontId="0" fillId="0" borderId="0" xfId="0" applyProtection="1">
      <protection locked="0"/>
    </xf>
    <xf numFmtId="49" fontId="2" fillId="0" borderId="27" xfId="0" applyNumberFormat="1" applyFont="1" applyBorder="1" applyAlignment="1" applyProtection="1">
      <alignment horizontal="right" vertical="center"/>
      <protection locked="0"/>
    </xf>
    <xf numFmtId="0" fontId="2" fillId="2" borderId="0" xfId="0" applyFont="1" applyFill="1" applyAlignment="1" applyProtection="1">
      <alignment vertical="center"/>
      <protection locked="0"/>
    </xf>
    <xf numFmtId="0" fontId="5" fillId="0" borderId="0" xfId="0" applyFont="1" applyAlignment="1">
      <alignment horizontal="center"/>
    </xf>
    <xf numFmtId="0" fontId="17" fillId="2" borderId="27" xfId="0" applyFont="1" applyFill="1" applyBorder="1" applyAlignment="1">
      <alignment horizontal="right"/>
    </xf>
    <xf numFmtId="0" fontId="17" fillId="2" borderId="14" xfId="0" applyFont="1" applyFill="1" applyBorder="1" applyAlignment="1" applyProtection="1">
      <alignment horizontal="left"/>
      <protection locked="0"/>
    </xf>
    <xf numFmtId="0" fontId="4" fillId="2" borderId="0" xfId="0" applyFont="1" applyFill="1" applyAlignment="1" applyProtection="1">
      <alignment horizontal="left" vertical="center"/>
      <protection locked="0"/>
    </xf>
    <xf numFmtId="0" fontId="4" fillId="2" borderId="0" xfId="0" applyFont="1" applyFill="1" applyProtection="1">
      <protection locked="0"/>
    </xf>
    <xf numFmtId="2" fontId="3" fillId="0" borderId="0" xfId="0" applyNumberFormat="1" applyFont="1" applyAlignment="1">
      <alignment horizontal="left"/>
    </xf>
    <xf numFmtId="1" fontId="3" fillId="0" borderId="0" xfId="0" applyNumberFormat="1" applyFont="1" applyAlignment="1">
      <alignment horizontal="left"/>
    </xf>
    <xf numFmtId="0" fontId="5" fillId="0" borderId="1" xfId="0" applyFont="1" applyBorder="1" applyAlignment="1">
      <alignment horizontal="center"/>
    </xf>
    <xf numFmtId="0" fontId="5" fillId="0" borderId="3" xfId="0" applyFont="1" applyBorder="1" applyAlignment="1">
      <alignment horizontal="center"/>
    </xf>
    <xf numFmtId="0" fontId="3" fillId="0" borderId="0" xfId="0" applyFont="1" applyAlignment="1">
      <alignment horizontal="left"/>
    </xf>
    <xf numFmtId="0" fontId="0" fillId="0" borderId="0" xfId="0" applyAlignment="1" applyProtection="1">
      <alignment horizontal="center" vertical="center"/>
      <protection locked="0"/>
    </xf>
    <xf numFmtId="0" fontId="0" fillId="0" borderId="0" xfId="0" applyAlignment="1">
      <alignment vertical="center"/>
    </xf>
    <xf numFmtId="2" fontId="8" fillId="0" borderId="15" xfId="0" applyNumberFormat="1" applyFont="1" applyBorder="1" applyAlignment="1">
      <alignment horizontal="center"/>
    </xf>
    <xf numFmtId="2" fontId="8" fillId="0" borderId="17" xfId="0" applyNumberFormat="1" applyFont="1" applyBorder="1" applyAlignment="1">
      <alignment horizontal="center"/>
    </xf>
    <xf numFmtId="0" fontId="0" fillId="0" borderId="0" xfId="0" applyAlignment="1" applyProtection="1">
      <alignment vertical="center"/>
      <protection locked="0"/>
    </xf>
    <xf numFmtId="0" fontId="5" fillId="0" borderId="0" xfId="0" applyFont="1" applyAlignment="1">
      <alignment horizontal="left"/>
    </xf>
    <xf numFmtId="0" fontId="0" fillId="2" borderId="0" xfId="0" applyFill="1" applyAlignment="1" applyProtection="1">
      <alignment horizontal="center"/>
      <protection locked="0"/>
    </xf>
    <xf numFmtId="2" fontId="3" fillId="0" borderId="10" xfId="0" applyNumberFormat="1" applyFont="1" applyBorder="1" applyAlignment="1">
      <alignment horizontal="center"/>
    </xf>
    <xf numFmtId="2" fontId="3" fillId="2" borderId="0" xfId="0" applyNumberFormat="1" applyFont="1" applyFill="1" applyAlignment="1" applyProtection="1">
      <alignment horizontal="center" wrapText="1"/>
      <protection locked="0"/>
    </xf>
    <xf numFmtId="2" fontId="0" fillId="2" borderId="0" xfId="0" applyNumberFormat="1" applyFill="1" applyAlignment="1" applyProtection="1">
      <alignment horizontal="center"/>
      <protection locked="0"/>
    </xf>
    <xf numFmtId="0" fontId="10" fillId="0" borderId="0" xfId="0" applyFon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64" fontId="9" fillId="0" borderId="0" xfId="0" applyNumberFormat="1" applyFont="1" applyAlignment="1">
      <alignment horizontal="center"/>
    </xf>
    <xf numFmtId="0" fontId="10" fillId="0" borderId="0" xfId="0" applyFont="1" applyProtection="1">
      <protection locked="0"/>
    </xf>
    <xf numFmtId="2" fontId="9" fillId="0" borderId="20" xfId="0" applyNumberFormat="1" applyFont="1" applyBorder="1" applyAlignment="1">
      <alignment horizontal="center" vertical="center"/>
    </xf>
    <xf numFmtId="2" fontId="0" fillId="0" borderId="0" xfId="0" applyNumberFormat="1"/>
    <xf numFmtId="0" fontId="17" fillId="0" borderId="0" xfId="0" applyFont="1" applyAlignment="1">
      <alignment horizontal="right" vertical="center"/>
    </xf>
    <xf numFmtId="2" fontId="10" fillId="6" borderId="23" xfId="0" applyNumberFormat="1" applyFont="1" applyFill="1" applyBorder="1" applyAlignment="1">
      <alignment horizontal="center"/>
    </xf>
    <xf numFmtId="2" fontId="10" fillId="6" borderId="8" xfId="0" applyNumberFormat="1" applyFont="1" applyFill="1" applyBorder="1" applyAlignment="1">
      <alignment horizontal="center"/>
    </xf>
    <xf numFmtId="0" fontId="15" fillId="6" borderId="28" xfId="0" applyFont="1" applyFill="1" applyBorder="1" applyAlignment="1">
      <alignment horizontal="center" vertical="center"/>
    </xf>
    <xf numFmtId="0" fontId="15" fillId="6" borderId="31" xfId="0" applyFont="1" applyFill="1" applyBorder="1" applyAlignment="1">
      <alignment horizontal="center" vertical="center"/>
    </xf>
    <xf numFmtId="2" fontId="10" fillId="6" borderId="7" xfId="0" applyNumberFormat="1" applyFont="1" applyFill="1" applyBorder="1" applyAlignment="1">
      <alignment horizontal="center"/>
    </xf>
    <xf numFmtId="2" fontId="10" fillId="6" borderId="30" xfId="0" applyNumberFormat="1" applyFont="1" applyFill="1" applyBorder="1" applyAlignment="1">
      <alignment horizontal="center"/>
    </xf>
    <xf numFmtId="0" fontId="15" fillId="7" borderId="23" xfId="0" applyFont="1" applyFill="1" applyBorder="1" applyAlignment="1">
      <alignment horizontal="center" vertical="center"/>
    </xf>
    <xf numFmtId="2" fontId="10" fillId="7" borderId="8" xfId="0" applyNumberFormat="1" applyFont="1" applyFill="1" applyBorder="1" applyAlignment="1">
      <alignment horizontal="center"/>
    </xf>
    <xf numFmtId="0" fontId="5" fillId="0" borderId="2" xfId="1" applyFont="1" applyBorder="1" applyAlignment="1">
      <alignment horizontal="center"/>
    </xf>
    <xf numFmtId="2" fontId="8" fillId="0" borderId="13" xfId="1" applyNumberFormat="1" applyFont="1" applyBorder="1" applyAlignment="1">
      <alignment horizontal="center"/>
    </xf>
    <xf numFmtId="0" fontId="5" fillId="0" borderId="3" xfId="1" applyFont="1" applyBorder="1" applyAlignment="1">
      <alignment horizontal="center"/>
    </xf>
    <xf numFmtId="2" fontId="8" fillId="0" borderId="17" xfId="1" applyNumberFormat="1" applyFont="1" applyBorder="1" applyAlignment="1">
      <alignment horizontal="center"/>
    </xf>
    <xf numFmtId="0" fontId="0" fillId="0" borderId="20" xfId="0" applyBorder="1"/>
    <xf numFmtId="0" fontId="10" fillId="5" borderId="9" xfId="0" applyFont="1" applyFill="1" applyBorder="1" applyAlignment="1">
      <alignment horizontal="center" vertical="center"/>
    </xf>
    <xf numFmtId="2" fontId="10" fillId="8" borderId="23" xfId="0" applyNumberFormat="1" applyFont="1" applyFill="1" applyBorder="1" applyAlignment="1">
      <alignment horizontal="center"/>
    </xf>
    <xf numFmtId="2" fontId="10" fillId="8" borderId="8" xfId="0" applyNumberFormat="1" applyFont="1" applyFill="1" applyBorder="1" applyAlignment="1">
      <alignment horizontal="center"/>
    </xf>
    <xf numFmtId="2" fontId="10" fillId="8" borderId="30" xfId="0" applyNumberFormat="1" applyFont="1" applyFill="1" applyBorder="1" applyAlignment="1">
      <alignment horizontal="center"/>
    </xf>
    <xf numFmtId="0" fontId="23" fillId="0" borderId="31" xfId="0" applyFont="1" applyBorder="1" applyAlignment="1">
      <alignment horizontal="center" vertical="center"/>
    </xf>
    <xf numFmtId="0" fontId="15" fillId="9" borderId="28"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31" xfId="0" applyFont="1" applyFill="1" applyBorder="1" applyAlignment="1">
      <alignment horizontal="center" vertical="center"/>
    </xf>
    <xf numFmtId="2" fontId="10" fillId="9" borderId="8" xfId="0" applyNumberFormat="1" applyFont="1" applyFill="1" applyBorder="1" applyAlignment="1">
      <alignment horizontal="center"/>
    </xf>
    <xf numFmtId="2" fontId="10" fillId="9" borderId="30"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23" xfId="0" applyNumberFormat="1" applyFont="1" applyFill="1" applyBorder="1" applyAlignment="1">
      <alignment horizontal="center"/>
    </xf>
    <xf numFmtId="2" fontId="10" fillId="10" borderId="8" xfId="0" applyNumberFormat="1" applyFont="1" applyFill="1" applyBorder="1" applyAlignment="1">
      <alignment horizontal="center"/>
    </xf>
    <xf numFmtId="0" fontId="10" fillId="10" borderId="23" xfId="0" applyFont="1" applyFill="1" applyBorder="1" applyAlignment="1">
      <alignment horizontal="center" vertical="center"/>
    </xf>
    <xf numFmtId="0" fontId="15" fillId="10" borderId="28" xfId="0" applyFont="1" applyFill="1" applyBorder="1" applyAlignment="1">
      <alignment horizontal="center" vertical="center"/>
    </xf>
    <xf numFmtId="0" fontId="10" fillId="10" borderId="28" xfId="0" applyFont="1" applyFill="1" applyBorder="1" applyAlignment="1">
      <alignment horizontal="center" vertical="center"/>
    </xf>
    <xf numFmtId="0" fontId="10" fillId="4" borderId="19" xfId="0" applyFont="1" applyFill="1" applyBorder="1" applyAlignment="1" applyProtection="1">
      <alignment horizontal="center"/>
      <protection locked="0"/>
    </xf>
    <xf numFmtId="2" fontId="10" fillId="4" borderId="21" xfId="0" applyNumberFormat="1" applyFont="1" applyFill="1" applyBorder="1" applyAlignment="1" applyProtection="1">
      <alignment horizontal="center"/>
      <protection locked="0"/>
    </xf>
    <xf numFmtId="0" fontId="10" fillId="4" borderId="21" xfId="0" applyFont="1" applyFill="1" applyBorder="1" applyAlignment="1" applyProtection="1">
      <alignment horizontal="center"/>
      <protection locked="0"/>
    </xf>
    <xf numFmtId="0" fontId="10" fillId="0" borderId="1" xfId="0" applyFont="1" applyBorder="1" applyAlignment="1">
      <alignment horizontal="center"/>
    </xf>
    <xf numFmtId="2" fontId="10" fillId="0" borderId="3" xfId="0" applyNumberFormat="1" applyFont="1" applyBorder="1" applyAlignment="1">
      <alignment horizontal="center"/>
    </xf>
    <xf numFmtId="0" fontId="10" fillId="0" borderId="19" xfId="0" applyFont="1" applyBorder="1" applyAlignment="1">
      <alignment horizontal="center"/>
    </xf>
    <xf numFmtId="2" fontId="10" fillId="0" borderId="21" xfId="0" applyNumberFormat="1" applyFont="1" applyBorder="1" applyAlignment="1">
      <alignment horizontal="center"/>
    </xf>
    <xf numFmtId="0" fontId="15" fillId="8" borderId="23" xfId="0" applyFont="1" applyFill="1" applyBorder="1" applyAlignment="1">
      <alignment horizontal="center" vertical="center"/>
    </xf>
    <xf numFmtId="2" fontId="10" fillId="6" borderId="22" xfId="0" applyNumberFormat="1" applyFont="1" applyFill="1" applyBorder="1" applyAlignment="1">
      <alignment horizontal="center"/>
    </xf>
    <xf numFmtId="164" fontId="9" fillId="0" borderId="14" xfId="0" applyNumberFormat="1" applyFont="1" applyBorder="1" applyAlignment="1">
      <alignment horizontal="center"/>
    </xf>
    <xf numFmtId="0" fontId="3" fillId="0" borderId="0" xfId="0" applyFont="1" applyAlignment="1">
      <alignment vertical="center" wrapText="1" shrinkToFit="1"/>
    </xf>
    <xf numFmtId="0" fontId="3" fillId="0" borderId="20" xfId="0" applyFont="1" applyBorder="1" applyAlignment="1">
      <alignment vertical="center" wrapText="1" shrinkToFit="1"/>
    </xf>
    <xf numFmtId="49" fontId="3" fillId="0" borderId="20" xfId="0" applyNumberFormat="1" applyFont="1" applyBorder="1" applyAlignment="1">
      <alignment horizontal="left" vertical="center"/>
    </xf>
    <xf numFmtId="2" fontId="8" fillId="0" borderId="16" xfId="1" applyNumberFormat="1" applyFont="1" applyBorder="1" applyAlignment="1">
      <alignment horizontal="center"/>
    </xf>
    <xf numFmtId="2" fontId="9" fillId="0" borderId="20" xfId="0" applyNumberFormat="1" applyFont="1" applyBorder="1" applyAlignment="1">
      <alignment horizontal="center" wrapText="1"/>
    </xf>
    <xf numFmtId="0" fontId="25" fillId="0" borderId="0" xfId="0" applyFont="1"/>
    <xf numFmtId="0" fontId="26" fillId="0" borderId="10" xfId="0" applyFont="1" applyBorder="1" applyAlignment="1">
      <alignment horizontal="center"/>
    </xf>
    <xf numFmtId="0" fontId="26" fillId="0" borderId="24" xfId="0" applyFont="1" applyBorder="1" applyAlignment="1">
      <alignment horizontal="center"/>
    </xf>
    <xf numFmtId="0" fontId="1" fillId="2" borderId="18" xfId="1" applyFill="1" applyBorder="1" applyAlignment="1" applyProtection="1">
      <alignment horizontal="left"/>
      <protection locked="0"/>
    </xf>
    <xf numFmtId="0" fontId="26" fillId="0" borderId="0" xfId="0" applyFont="1" applyAlignment="1">
      <alignment horizontal="center"/>
    </xf>
    <xf numFmtId="164" fontId="25" fillId="0" borderId="0" xfId="0" applyNumberFormat="1" applyFont="1" applyAlignment="1">
      <alignment horizontal="center"/>
    </xf>
    <xf numFmtId="164" fontId="0" fillId="0" borderId="0" xfId="0" applyNumberFormat="1"/>
    <xf numFmtId="49" fontId="9" fillId="0" borderId="29" xfId="0" applyNumberFormat="1" applyFont="1" applyBorder="1" applyAlignment="1">
      <alignment horizontal="right"/>
    </xf>
    <xf numFmtId="0" fontId="21" fillId="6" borderId="31" xfId="0" applyFont="1" applyFill="1" applyBorder="1" applyAlignment="1">
      <alignment horizontal="center" vertical="center"/>
    </xf>
    <xf numFmtId="2" fontId="10" fillId="8" borderId="22" xfId="0" applyNumberFormat="1" applyFont="1" applyFill="1" applyBorder="1" applyAlignment="1">
      <alignment horizontal="center"/>
    </xf>
    <xf numFmtId="0" fontId="15" fillId="11" borderId="23" xfId="0" applyFont="1" applyFill="1" applyBorder="1" applyAlignment="1">
      <alignment horizontal="center" vertical="center"/>
    </xf>
    <xf numFmtId="2" fontId="10" fillId="11" borderId="8" xfId="0" applyNumberFormat="1" applyFont="1" applyFill="1" applyBorder="1" applyAlignment="1">
      <alignment horizontal="center"/>
    </xf>
    <xf numFmtId="0" fontId="15" fillId="10" borderId="23" xfId="0" applyFont="1" applyFill="1" applyBorder="1" applyAlignment="1">
      <alignment horizontal="center" vertical="center"/>
    </xf>
    <xf numFmtId="2" fontId="10" fillId="0" borderId="0" xfId="0" applyNumberFormat="1" applyFont="1" applyAlignment="1">
      <alignment horizontal="center"/>
    </xf>
    <xf numFmtId="0" fontId="1" fillId="2" borderId="14" xfId="1" applyFill="1" applyBorder="1" applyAlignment="1" applyProtection="1">
      <alignment horizontal="left"/>
      <protection locked="0"/>
    </xf>
    <xf numFmtId="49" fontId="9" fillId="0" borderId="27" xfId="0" applyNumberFormat="1" applyFont="1" applyBorder="1" applyAlignment="1">
      <alignment horizontal="right"/>
    </xf>
    <xf numFmtId="49" fontId="3" fillId="0" borderId="28" xfId="0" applyNumberFormat="1" applyFont="1" applyBorder="1" applyAlignment="1">
      <alignment horizontal="right"/>
    </xf>
    <xf numFmtId="0" fontId="3" fillId="0" borderId="31" xfId="0" applyFont="1" applyBorder="1" applyAlignment="1">
      <alignment horizontal="left"/>
    </xf>
    <xf numFmtId="0" fontId="3" fillId="0" borderId="1" xfId="0" applyFont="1" applyBorder="1" applyAlignment="1">
      <alignment horizontal="right"/>
    </xf>
    <xf numFmtId="2" fontId="3" fillId="0" borderId="3" xfId="0" applyNumberFormat="1" applyFont="1" applyBorder="1" applyAlignment="1">
      <alignment horizontal="center"/>
    </xf>
    <xf numFmtId="0" fontId="3" fillId="0" borderId="5" xfId="0" applyFont="1" applyBorder="1" applyAlignment="1">
      <alignment horizontal="right"/>
    </xf>
    <xf numFmtId="2" fontId="3" fillId="0" borderId="1" xfId="0" applyNumberFormat="1" applyFont="1" applyBorder="1" applyAlignment="1">
      <alignment horizontal="right"/>
    </xf>
    <xf numFmtId="2" fontId="3" fillId="0" borderId="19" xfId="0" applyNumberFormat="1" applyFont="1" applyBorder="1" applyAlignment="1">
      <alignment horizontal="right"/>
    </xf>
    <xf numFmtId="2" fontId="3" fillId="0" borderId="28" xfId="0" applyNumberFormat="1" applyFont="1" applyBorder="1" applyAlignment="1">
      <alignment horizontal="right"/>
    </xf>
    <xf numFmtId="2" fontId="3" fillId="0" borderId="6" xfId="0" applyNumberFormat="1" applyFont="1" applyBorder="1" applyAlignment="1">
      <alignment horizontal="center"/>
    </xf>
    <xf numFmtId="2" fontId="3" fillId="0" borderId="5" xfId="0" applyNumberFormat="1" applyFont="1" applyBorder="1" applyAlignment="1">
      <alignment horizontal="right"/>
    </xf>
    <xf numFmtId="0" fontId="4" fillId="5" borderId="23" xfId="0" applyFont="1" applyFill="1" applyBorder="1" applyAlignment="1">
      <alignment horizontal="center" vertical="center"/>
    </xf>
    <xf numFmtId="0" fontId="4" fillId="5" borderId="8" xfId="0" applyFont="1" applyFill="1" applyBorder="1" applyAlignment="1">
      <alignment horizontal="center" vertical="center"/>
    </xf>
    <xf numFmtId="2" fontId="2" fillId="2" borderId="39" xfId="0" applyNumberFormat="1" applyFont="1" applyFill="1" applyBorder="1" applyAlignment="1">
      <alignment horizontal="left"/>
    </xf>
    <xf numFmtId="2" fontId="2" fillId="2" borderId="0" xfId="0" applyNumberFormat="1" applyFont="1" applyFill="1" applyAlignment="1">
      <alignment horizontal="left"/>
    </xf>
    <xf numFmtId="2" fontId="2" fillId="2" borderId="40" xfId="0" applyNumberFormat="1" applyFont="1" applyFill="1" applyBorder="1" applyAlignment="1">
      <alignment horizontal="left"/>
    </xf>
    <xf numFmtId="0" fontId="13" fillId="5" borderId="23" xfId="0" applyFont="1" applyFill="1" applyBorder="1" applyAlignment="1">
      <alignment horizontal="center" vertical="center"/>
    </xf>
    <xf numFmtId="0" fontId="10" fillId="5" borderId="23" xfId="0" applyFont="1" applyFill="1" applyBorder="1" applyAlignment="1">
      <alignment horizontal="center" vertical="center"/>
    </xf>
    <xf numFmtId="0" fontId="10" fillId="5" borderId="8" xfId="0" applyFont="1" applyFill="1" applyBorder="1" applyAlignment="1">
      <alignment horizontal="center" vertical="center"/>
    </xf>
    <xf numFmtId="0" fontId="10" fillId="3" borderId="8" xfId="0" applyFont="1" applyFill="1" applyBorder="1" applyAlignment="1" applyProtection="1">
      <alignment horizontal="center"/>
      <protection locked="0"/>
    </xf>
    <xf numFmtId="2" fontId="10" fillId="12" borderId="7" xfId="0" applyNumberFormat="1" applyFont="1" applyFill="1" applyBorder="1" applyAlignment="1">
      <alignment horizontal="right"/>
    </xf>
    <xf numFmtId="2" fontId="10" fillId="12" borderId="30" xfId="0" applyNumberFormat="1" applyFont="1" applyFill="1" applyBorder="1" applyAlignment="1">
      <alignment horizontal="left"/>
    </xf>
    <xf numFmtId="0" fontId="15" fillId="8" borderId="23" xfId="0" applyFont="1" applyFill="1" applyBorder="1" applyAlignment="1">
      <alignment horizontal="center"/>
    </xf>
    <xf numFmtId="2" fontId="0" fillId="0" borderId="41" xfId="0" applyNumberFormat="1" applyBorder="1" applyAlignment="1">
      <alignment horizontal="center"/>
    </xf>
    <xf numFmtId="2" fontId="0" fillId="0" borderId="41" xfId="0" applyNumberFormat="1" applyBorder="1" applyAlignment="1">
      <alignment horizontal="center" vertical="center"/>
    </xf>
    <xf numFmtId="2" fontId="0" fillId="0" borderId="37" xfId="0" applyNumberFormat="1" applyBorder="1" applyAlignment="1">
      <alignment horizontal="center"/>
    </xf>
    <xf numFmtId="0" fontId="3" fillId="0" borderId="38" xfId="0" applyFont="1" applyBorder="1" applyAlignment="1">
      <alignment horizontal="center" vertical="center"/>
    </xf>
    <xf numFmtId="0" fontId="3" fillId="0" borderId="20" xfId="0" applyFont="1" applyBorder="1"/>
    <xf numFmtId="1" fontId="3" fillId="0" borderId="20" xfId="0" applyNumberFormat="1" applyFont="1" applyBorder="1" applyAlignment="1">
      <alignment horizontal="center"/>
    </xf>
    <xf numFmtId="0" fontId="3" fillId="0" borderId="38" xfId="0" applyFont="1" applyBorder="1" applyAlignment="1">
      <alignment horizontal="center"/>
    </xf>
    <xf numFmtId="49" fontId="3" fillId="0" borderId="38" xfId="0" applyNumberFormat="1" applyFont="1" applyBorder="1" applyAlignment="1">
      <alignment horizontal="center" vertical="center"/>
    </xf>
    <xf numFmtId="2" fontId="0" fillId="0" borderId="38" xfId="0" applyNumberFormat="1" applyBorder="1" applyAlignment="1">
      <alignment horizontal="center"/>
    </xf>
    <xf numFmtId="0" fontId="3" fillId="0" borderId="37" xfId="0" applyFont="1" applyBorder="1" applyAlignment="1">
      <alignment vertical="center" wrapText="1" shrinkToFit="1"/>
    </xf>
    <xf numFmtId="2" fontId="9" fillId="0" borderId="38" xfId="0" applyNumberFormat="1" applyFont="1" applyBorder="1" applyAlignment="1">
      <alignment horizontal="center"/>
    </xf>
    <xf numFmtId="2" fontId="0" fillId="0" borderId="38" xfId="0" applyNumberFormat="1" applyBorder="1" applyAlignment="1">
      <alignment horizontal="center" vertical="center"/>
    </xf>
    <xf numFmtId="2" fontId="9" fillId="0" borderId="38" xfId="0" applyNumberFormat="1" applyFont="1" applyBorder="1" applyAlignment="1">
      <alignment horizontal="center" vertical="center"/>
    </xf>
    <xf numFmtId="2" fontId="3" fillId="0" borderId="37" xfId="0" applyNumberFormat="1" applyFont="1" applyBorder="1" applyAlignment="1">
      <alignment horizontal="left"/>
    </xf>
    <xf numFmtId="2" fontId="3" fillId="0" borderId="23" xfId="0" applyNumberFormat="1" applyFont="1" applyBorder="1" applyAlignment="1">
      <alignment horizontal="left"/>
    </xf>
    <xf numFmtId="1" fontId="3" fillId="0" borderId="37" xfId="0" applyNumberFormat="1" applyFont="1" applyBorder="1" applyAlignment="1">
      <alignment horizontal="left"/>
    </xf>
    <xf numFmtId="0" fontId="3" fillId="0" borderId="12" xfId="0" applyFont="1" applyBorder="1" applyAlignment="1">
      <alignment horizontal="left"/>
    </xf>
    <xf numFmtId="2" fontId="3" fillId="0" borderId="12" xfId="0" applyNumberFormat="1" applyFont="1" applyBorder="1" applyAlignment="1">
      <alignment horizontal="left"/>
    </xf>
    <xf numFmtId="1" fontId="3" fillId="0" borderId="12" xfId="0" applyNumberFormat="1" applyFont="1" applyBorder="1" applyAlignment="1">
      <alignment horizontal="left"/>
    </xf>
    <xf numFmtId="0" fontId="3" fillId="0" borderId="37" xfId="0" applyFont="1" applyBorder="1" applyAlignment="1">
      <alignment horizontal="left"/>
    </xf>
    <xf numFmtId="1" fontId="3" fillId="0" borderId="9" xfId="0" applyNumberFormat="1" applyFont="1" applyBorder="1" applyAlignment="1">
      <alignment horizontal="left" vertical="center"/>
    </xf>
    <xf numFmtId="0" fontId="3" fillId="0" borderId="23" xfId="0" applyFont="1" applyBorder="1" applyAlignment="1">
      <alignment horizontal="left"/>
    </xf>
    <xf numFmtId="2" fontId="3" fillId="0" borderId="37" xfId="0" applyNumberFormat="1" applyFont="1" applyBorder="1" applyAlignment="1">
      <alignment horizontal="left" vertical="center"/>
    </xf>
    <xf numFmtId="1" fontId="3" fillId="0" borderId="23" xfId="0" applyNumberFormat="1" applyFont="1" applyBorder="1" applyAlignment="1">
      <alignment horizontal="left"/>
    </xf>
    <xf numFmtId="2" fontId="3" fillId="0" borderId="9" xfId="0" applyNumberFormat="1" applyFont="1" applyBorder="1" applyAlignment="1">
      <alignment horizontal="left"/>
    </xf>
    <xf numFmtId="0" fontId="3" fillId="0" borderId="37" xfId="0" applyFont="1" applyBorder="1"/>
    <xf numFmtId="2" fontId="3" fillId="0" borderId="37" xfId="0" applyNumberFormat="1" applyFont="1" applyBorder="1" applyAlignment="1">
      <alignment horizontal="left" vertical="center" shrinkToFit="1"/>
    </xf>
    <xf numFmtId="0" fontId="3" fillId="0" borderId="37" xfId="0" applyFont="1" applyBorder="1" applyAlignment="1">
      <alignment horizontal="left" vertical="center"/>
    </xf>
    <xf numFmtId="0" fontId="25" fillId="0" borderId="0" xfId="0" applyFont="1" applyAlignment="1">
      <alignment horizontal="center"/>
    </xf>
    <xf numFmtId="0" fontId="3" fillId="0" borderId="24" xfId="0" applyFont="1" applyBorder="1" applyAlignment="1">
      <alignment horizontal="center"/>
    </xf>
    <xf numFmtId="0" fontId="26" fillId="0" borderId="37" xfId="0" applyFont="1" applyBorder="1" applyAlignment="1">
      <alignment horizontal="center"/>
    </xf>
    <xf numFmtId="1" fontId="25" fillId="0" borderId="1" xfId="0" applyNumberFormat="1" applyFont="1" applyBorder="1" applyAlignment="1">
      <alignment horizontal="center"/>
    </xf>
    <xf numFmtId="1" fontId="25" fillId="0" borderId="4" xfId="0" applyNumberFormat="1" applyFont="1" applyBorder="1" applyAlignment="1">
      <alignment horizontal="center"/>
    </xf>
    <xf numFmtId="1" fontId="25" fillId="0" borderId="36" xfId="0" applyNumberFormat="1" applyFont="1" applyBorder="1" applyAlignment="1">
      <alignment horizontal="center"/>
    </xf>
    <xf numFmtId="1" fontId="25" fillId="0" borderId="12" xfId="0" applyNumberFormat="1" applyFont="1" applyBorder="1" applyAlignment="1">
      <alignment horizontal="center"/>
    </xf>
    <xf numFmtId="1" fontId="25" fillId="0" borderId="32" xfId="0" applyNumberFormat="1" applyFont="1" applyBorder="1" applyAlignment="1">
      <alignment horizontal="center"/>
    </xf>
    <xf numFmtId="1" fontId="25" fillId="0" borderId="8" xfId="0" applyNumberFormat="1" applyFont="1" applyBorder="1" applyAlignment="1">
      <alignment horizontal="center"/>
    </xf>
    <xf numFmtId="0" fontId="15" fillId="10" borderId="9" xfId="0" applyFont="1" applyFill="1" applyBorder="1" applyAlignment="1">
      <alignment horizontal="center" vertical="center"/>
    </xf>
    <xf numFmtId="1" fontId="3" fillId="0" borderId="14" xfId="0" applyNumberFormat="1" applyFont="1" applyBorder="1" applyAlignment="1">
      <alignment horizontal="center"/>
    </xf>
    <xf numFmtId="2" fontId="0" fillId="0" borderId="19" xfId="0" applyNumberFormat="1" applyBorder="1" applyAlignment="1">
      <alignment horizontal="center"/>
    </xf>
    <xf numFmtId="2" fontId="0" fillId="0" borderId="21" xfId="0" applyNumberFormat="1" applyBorder="1" applyAlignment="1">
      <alignment horizontal="center"/>
    </xf>
    <xf numFmtId="164" fontId="0" fillId="0" borderId="5" xfId="0" applyNumberFormat="1" applyBorder="1" applyAlignment="1">
      <alignment horizontal="center"/>
    </xf>
    <xf numFmtId="164" fontId="0" fillId="0" borderId="13" xfId="0" applyNumberFormat="1" applyBorder="1" applyAlignment="1">
      <alignment horizontal="center"/>
    </xf>
    <xf numFmtId="164" fontId="0" fillId="0" borderId="6" xfId="0" applyNumberFormat="1" applyBorder="1" applyAlignment="1">
      <alignment horizontal="center"/>
    </xf>
    <xf numFmtId="164" fontId="0" fillId="0" borderId="4" xfId="0" applyNumberFormat="1" applyBorder="1" applyAlignment="1">
      <alignment horizontal="center"/>
    </xf>
    <xf numFmtId="164" fontId="0" fillId="0" borderId="42" xfId="0" applyNumberFormat="1" applyBorder="1" applyAlignment="1">
      <alignment horizontal="center"/>
    </xf>
    <xf numFmtId="164" fontId="0" fillId="0" borderId="43" xfId="0" applyNumberFormat="1" applyBorder="1" applyAlignment="1">
      <alignment horizontal="center"/>
    </xf>
    <xf numFmtId="2" fontId="8" fillId="0" borderId="10" xfId="0" applyNumberFormat="1" applyFont="1" applyBorder="1" applyAlignment="1">
      <alignment horizontal="center"/>
    </xf>
    <xf numFmtId="0" fontId="8" fillId="0" borderId="44" xfId="0" applyFont="1" applyBorder="1" applyAlignment="1">
      <alignment horizontal="center"/>
    </xf>
    <xf numFmtId="2" fontId="8" fillId="0" borderId="44" xfId="0" applyNumberFormat="1" applyFont="1" applyBorder="1" applyAlignment="1">
      <alignment horizontal="center"/>
    </xf>
    <xf numFmtId="2" fontId="8" fillId="0" borderId="44" xfId="1" applyNumberFormat="1" applyFont="1" applyBorder="1" applyAlignment="1">
      <alignment horizontal="center"/>
    </xf>
    <xf numFmtId="2" fontId="8" fillId="0" borderId="24" xfId="0" applyNumberFormat="1" applyFont="1" applyBorder="1" applyAlignment="1">
      <alignment horizontal="center"/>
    </xf>
    <xf numFmtId="0" fontId="0" fillId="0" borderId="38" xfId="0" applyBorder="1" applyAlignment="1">
      <alignment horizontal="center"/>
    </xf>
    <xf numFmtId="0" fontId="0" fillId="0" borderId="20" xfId="0" applyBorder="1" applyAlignment="1">
      <alignment horizontal="center"/>
    </xf>
    <xf numFmtId="0" fontId="0" fillId="0" borderId="41" xfId="0" applyBorder="1" applyAlignment="1">
      <alignment horizontal="center"/>
    </xf>
    <xf numFmtId="0" fontId="10" fillId="9" borderId="0" xfId="0" applyFont="1" applyFill="1" applyAlignment="1" applyProtection="1">
      <alignment horizontal="center"/>
      <protection locked="0"/>
    </xf>
    <xf numFmtId="2" fontId="10" fillId="9" borderId="0" xfId="0" applyNumberFormat="1" applyFont="1" applyFill="1" applyAlignment="1" applyProtection="1">
      <alignment horizontal="center"/>
      <protection locked="0"/>
    </xf>
    <xf numFmtId="2" fontId="28" fillId="0" borderId="23" xfId="0" applyNumberFormat="1" applyFont="1" applyBorder="1" applyAlignment="1">
      <alignment horizontal="center"/>
    </xf>
    <xf numFmtId="0" fontId="5" fillId="0" borderId="10" xfId="0" applyFont="1" applyBorder="1" applyAlignment="1">
      <alignment horizontal="center"/>
    </xf>
    <xf numFmtId="0" fontId="5" fillId="0" borderId="44" xfId="0" applyFont="1" applyBorder="1" applyAlignment="1">
      <alignment horizontal="center"/>
    </xf>
    <xf numFmtId="0" fontId="5" fillId="0" borderId="24" xfId="1" applyFont="1" applyBorder="1" applyAlignment="1">
      <alignment horizontal="center"/>
    </xf>
    <xf numFmtId="0" fontId="5" fillId="0" borderId="45" xfId="0" applyFont="1" applyBorder="1" applyAlignment="1">
      <alignment horizontal="center"/>
    </xf>
    <xf numFmtId="0" fontId="23" fillId="0" borderId="14" xfId="0" applyFont="1" applyBorder="1" applyAlignment="1">
      <alignment horizontal="center" vertical="center"/>
    </xf>
    <xf numFmtId="0" fontId="5" fillId="0" borderId="24" xfId="0" applyFont="1" applyBorder="1" applyAlignment="1">
      <alignment horizontal="center"/>
    </xf>
    <xf numFmtId="0" fontId="5" fillId="0" borderId="44" xfId="1" applyFont="1" applyBorder="1" applyAlignment="1">
      <alignment horizontal="center"/>
    </xf>
    <xf numFmtId="0" fontId="5" fillId="0" borderId="2" xfId="2" applyFont="1" applyBorder="1" applyAlignment="1">
      <alignment horizontal="center"/>
    </xf>
    <xf numFmtId="2" fontId="8" fillId="0" borderId="16" xfId="2" applyNumberFormat="1" applyFont="1" applyBorder="1" applyAlignment="1">
      <alignment horizontal="center"/>
    </xf>
    <xf numFmtId="2" fontId="10" fillId="9" borderId="7" xfId="0" applyNumberFormat="1" applyFont="1" applyFill="1" applyBorder="1" applyAlignment="1">
      <alignment horizontal="center"/>
    </xf>
    <xf numFmtId="165" fontId="25" fillId="0" borderId="1" xfId="0" applyNumberFormat="1" applyFont="1" applyBorder="1" applyAlignment="1">
      <alignment horizontal="center"/>
    </xf>
    <xf numFmtId="165" fontId="25" fillId="0" borderId="12" xfId="0" applyNumberFormat="1" applyFont="1" applyBorder="1" applyAlignment="1">
      <alignment horizontal="center"/>
    </xf>
    <xf numFmtId="165" fontId="25" fillId="0" borderId="4" xfId="0" applyNumberFormat="1" applyFont="1" applyBorder="1" applyAlignment="1">
      <alignment horizontal="center"/>
    </xf>
    <xf numFmtId="165" fontId="25" fillId="0" borderId="32" xfId="0" applyNumberFormat="1" applyFont="1" applyBorder="1" applyAlignment="1">
      <alignment horizontal="center"/>
    </xf>
    <xf numFmtId="165" fontId="25" fillId="0" borderId="36" xfId="0" applyNumberFormat="1" applyFont="1" applyBorder="1" applyAlignment="1">
      <alignment horizontal="center"/>
    </xf>
    <xf numFmtId="165" fontId="25" fillId="0" borderId="8" xfId="0" applyNumberFormat="1" applyFont="1" applyBorder="1" applyAlignment="1">
      <alignment horizontal="center"/>
    </xf>
    <xf numFmtId="2" fontId="10" fillId="8" borderId="8" xfId="0" applyNumberFormat="1" applyFont="1" applyFill="1" applyBorder="1" applyAlignment="1" applyProtection="1">
      <alignment horizontal="center"/>
      <protection locked="0"/>
    </xf>
    <xf numFmtId="0" fontId="17" fillId="0" borderId="0" xfId="0" applyFont="1" applyAlignment="1">
      <alignment horizontal="right" vertical="center"/>
    </xf>
    <xf numFmtId="2" fontId="10" fillId="9" borderId="7" xfId="0" applyNumberFormat="1" applyFont="1" applyFill="1" applyBorder="1" applyAlignment="1">
      <alignment horizontal="center"/>
    </xf>
    <xf numFmtId="2" fontId="10" fillId="9" borderId="30" xfId="0" applyNumberFormat="1" applyFont="1" applyFill="1" applyBorder="1" applyAlignment="1">
      <alignment horizontal="center"/>
    </xf>
    <xf numFmtId="2" fontId="10" fillId="10" borderId="7" xfId="0" applyNumberFormat="1" applyFont="1" applyFill="1" applyBorder="1" applyAlignment="1">
      <alignment horizontal="center"/>
    </xf>
    <xf numFmtId="0" fontId="10" fillId="5" borderId="23"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8" xfId="0" applyFont="1" applyFill="1" applyBorder="1" applyAlignment="1">
      <alignment horizontal="center" vertical="center"/>
    </xf>
    <xf numFmtId="1" fontId="3" fillId="0" borderId="14" xfId="0" applyNumberFormat="1" applyFont="1" applyBorder="1" applyAlignment="1">
      <alignment horizontal="center"/>
    </xf>
    <xf numFmtId="0" fontId="0" fillId="0" borderId="0" xfId="0" applyAlignment="1">
      <alignment horizontal="center"/>
    </xf>
    <xf numFmtId="0" fontId="20" fillId="0" borderId="0" xfId="0" applyFont="1" applyAlignment="1">
      <alignment horizontal="right" vertical="center"/>
    </xf>
    <xf numFmtId="1" fontId="20" fillId="0" borderId="0" xfId="0" applyNumberFormat="1" applyFont="1" applyAlignment="1">
      <alignment horizontal="left" vertical="center"/>
    </xf>
    <xf numFmtId="0" fontId="20" fillId="0" borderId="0" xfId="0" applyFont="1" applyAlignment="1">
      <alignment horizontal="left" vertical="center"/>
    </xf>
    <xf numFmtId="0" fontId="17" fillId="0" borderId="0" xfId="0" applyFont="1" applyAlignment="1">
      <alignment horizontal="right" vertical="center"/>
    </xf>
    <xf numFmtId="0" fontId="19" fillId="0" borderId="0" xfId="0" applyFont="1" applyAlignment="1">
      <alignment horizontal="right" vertical="center"/>
    </xf>
    <xf numFmtId="0" fontId="19" fillId="0" borderId="0" xfId="0" applyFont="1" applyAlignment="1">
      <alignment horizontal="left" vertical="center"/>
    </xf>
    <xf numFmtId="0" fontId="2" fillId="0" borderId="33"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0" fontId="12" fillId="0" borderId="27" xfId="0" applyFont="1" applyBorder="1" applyAlignment="1">
      <alignment horizontal="left" vertical="center" wrapText="1"/>
    </xf>
    <xf numFmtId="0" fontId="12" fillId="0" borderId="14" xfId="0" applyFont="1" applyBorder="1" applyAlignment="1">
      <alignment horizontal="left" vertical="center" wrapText="1"/>
    </xf>
    <xf numFmtId="0" fontId="2" fillId="0" borderId="27" xfId="0" applyFont="1" applyBorder="1" applyAlignment="1">
      <alignment horizontal="left" vertical="center"/>
    </xf>
    <xf numFmtId="0" fontId="2" fillId="0" borderId="33" xfId="0" applyFont="1" applyBorder="1" applyAlignment="1">
      <alignment horizontal="left" vertical="center"/>
    </xf>
    <xf numFmtId="0" fontId="2" fillId="0" borderId="14" xfId="0" applyFont="1" applyBorder="1" applyAlignment="1">
      <alignment horizontal="left" vertical="center"/>
    </xf>
    <xf numFmtId="2" fontId="10" fillId="12" borderId="28" xfId="0" applyNumberFormat="1" applyFont="1" applyFill="1" applyBorder="1" applyAlignment="1">
      <alignment horizontal="center"/>
    </xf>
    <xf numFmtId="2" fontId="10" fillId="12" borderId="31" xfId="0" applyNumberFormat="1" applyFont="1" applyFill="1" applyBorder="1" applyAlignment="1">
      <alignment horizontal="center"/>
    </xf>
    <xf numFmtId="2" fontId="10" fillId="9" borderId="28" xfId="0" applyNumberFormat="1" applyFont="1" applyFill="1" applyBorder="1" applyAlignment="1">
      <alignment horizontal="center"/>
    </xf>
    <xf numFmtId="2" fontId="10" fillId="9" borderId="31" xfId="0" applyNumberFormat="1" applyFont="1" applyFill="1" applyBorder="1" applyAlignment="1">
      <alignment horizontal="center"/>
    </xf>
    <xf numFmtId="2" fontId="10" fillId="10" borderId="28" xfId="0" applyNumberFormat="1" applyFont="1" applyFill="1" applyBorder="1" applyAlignment="1">
      <alignment horizontal="center"/>
    </xf>
    <xf numFmtId="2" fontId="10" fillId="10" borderId="31" xfId="0" applyNumberFormat="1" applyFont="1" applyFill="1" applyBorder="1" applyAlignment="1">
      <alignment horizontal="center"/>
    </xf>
    <xf numFmtId="0" fontId="12" fillId="5" borderId="9" xfId="0" applyFont="1" applyFill="1" applyBorder="1" applyAlignment="1">
      <alignment horizontal="center" vertical="center" wrapText="1"/>
    </xf>
    <xf numFmtId="0" fontId="12" fillId="5" borderId="8" xfId="0" applyFont="1" applyFill="1" applyBorder="1" applyAlignment="1">
      <alignment horizontal="center" vertical="center" wrapText="1"/>
    </xf>
    <xf numFmtId="2" fontId="10" fillId="9" borderId="7" xfId="0" applyNumberFormat="1" applyFont="1" applyFill="1" applyBorder="1" applyAlignment="1">
      <alignment horizontal="center"/>
    </xf>
    <xf numFmtId="2" fontId="10" fillId="9" borderId="30"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30" xfId="0" applyNumberFormat="1" applyFont="1" applyFill="1" applyBorder="1" applyAlignment="1">
      <alignment horizontal="center"/>
    </xf>
    <xf numFmtId="0" fontId="10" fillId="5" borderId="23"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2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23" xfId="0" applyFont="1" applyFill="1" applyBorder="1" applyAlignment="1">
      <alignment horizontal="center"/>
    </xf>
    <xf numFmtId="0" fontId="10" fillId="5" borderId="9" xfId="0" applyFont="1" applyFill="1" applyBorder="1" applyAlignment="1">
      <alignment horizontal="center"/>
    </xf>
    <xf numFmtId="2" fontId="10" fillId="10" borderId="22" xfId="0" applyNumberFormat="1" applyFont="1" applyFill="1" applyBorder="1" applyAlignment="1">
      <alignment horizontal="center"/>
    </xf>
    <xf numFmtId="0" fontId="3" fillId="0" borderId="27" xfId="0" applyFont="1" applyBorder="1" applyAlignment="1">
      <alignment horizontal="center"/>
    </xf>
    <xf numFmtId="0" fontId="3" fillId="0" borderId="14" xfId="0" applyFont="1" applyBorder="1" applyAlignment="1">
      <alignment horizontal="center"/>
    </xf>
    <xf numFmtId="0" fontId="18" fillId="0" borderId="28" xfId="0" applyFont="1" applyBorder="1" applyAlignment="1">
      <alignment horizontal="center" vertical="top"/>
    </xf>
    <xf numFmtId="0" fontId="29" fillId="0" borderId="34" xfId="0" applyFont="1" applyBorder="1" applyAlignment="1">
      <alignment horizontal="center" vertical="top"/>
    </xf>
    <xf numFmtId="0" fontId="29" fillId="0" borderId="31" xfId="0" applyFont="1" applyBorder="1" applyAlignment="1">
      <alignment horizontal="center" vertical="top"/>
    </xf>
    <xf numFmtId="0" fontId="29" fillId="0" borderId="11" xfId="0" applyFont="1" applyBorder="1" applyAlignment="1">
      <alignment horizontal="center" vertical="top"/>
    </xf>
    <xf numFmtId="0" fontId="29" fillId="0" borderId="0" xfId="0" applyFont="1" applyBorder="1" applyAlignment="1">
      <alignment horizontal="center" vertical="top"/>
    </xf>
    <xf numFmtId="0" fontId="29" fillId="0" borderId="22" xfId="0" applyFont="1" applyBorder="1" applyAlignment="1">
      <alignment horizontal="center" vertical="top"/>
    </xf>
    <xf numFmtId="0" fontId="29" fillId="0" borderId="7" xfId="0" applyFont="1" applyBorder="1" applyAlignment="1">
      <alignment horizontal="center" vertical="top"/>
    </xf>
    <xf numFmtId="0" fontId="29" fillId="0" borderId="35" xfId="0" applyFont="1" applyBorder="1" applyAlignment="1">
      <alignment horizontal="center" vertical="top"/>
    </xf>
    <xf numFmtId="0" fontId="29" fillId="0" borderId="30" xfId="0" applyFont="1" applyBorder="1" applyAlignment="1">
      <alignment horizontal="center" vertical="top"/>
    </xf>
    <xf numFmtId="1" fontId="3" fillId="0" borderId="27" xfId="0" applyNumberFormat="1" applyFont="1" applyBorder="1" applyAlignment="1">
      <alignment horizontal="center"/>
    </xf>
    <xf numFmtId="1" fontId="3" fillId="0" borderId="14" xfId="0" applyNumberFormat="1" applyFont="1" applyBorder="1" applyAlignment="1">
      <alignment horizontal="center"/>
    </xf>
    <xf numFmtId="0" fontId="25" fillId="0" borderId="0" xfId="0" applyFont="1" applyAlignment="1">
      <alignment horizontal="center"/>
    </xf>
    <xf numFmtId="0" fontId="26" fillId="0" borderId="27" xfId="0" applyFont="1" applyBorder="1" applyAlignment="1">
      <alignment horizontal="center"/>
    </xf>
    <xf numFmtId="0" fontId="26" fillId="0" borderId="14" xfId="0" applyFont="1" applyBorder="1" applyAlignment="1">
      <alignment horizontal="center"/>
    </xf>
    <xf numFmtId="0" fontId="0" fillId="0" borderId="0" xfId="0" applyAlignment="1">
      <alignment horizontal="center"/>
    </xf>
    <xf numFmtId="2" fontId="3" fillId="0" borderId="23" xfId="0" applyNumberFormat="1" applyFont="1" applyBorder="1" applyAlignment="1">
      <alignment horizontal="center"/>
    </xf>
    <xf numFmtId="2" fontId="3" fillId="0" borderId="8" xfId="0" applyNumberFormat="1" applyFont="1" applyBorder="1" applyAlignment="1">
      <alignment horizontal="center"/>
    </xf>
    <xf numFmtId="0" fontId="5" fillId="0" borderId="23" xfId="0" applyFont="1" applyBorder="1" applyAlignment="1">
      <alignment horizontal="center"/>
    </xf>
    <xf numFmtId="0" fontId="5" fillId="0" borderId="9" xfId="0" applyFont="1" applyBorder="1" applyAlignment="1">
      <alignment horizontal="center"/>
    </xf>
  </cellXfs>
  <cellStyles count="3">
    <cellStyle name="Normal" xfId="0" builtinId="0"/>
    <cellStyle name="Normal 2" xfId="1" xr:uid="{00000000-0005-0000-0000-000001000000}"/>
    <cellStyle name="Normal 3" xfId="2" xr:uid="{304A2A39-742F-4A6A-813B-64ED9104B726}"/>
  </cellStyles>
  <dxfs count="0"/>
  <tableStyles count="0" defaultTableStyle="TableStyleMedium9" defaultPivotStyle="PivotStyleLight16"/>
  <colors>
    <mruColors>
      <color rgb="FFFFCCFF"/>
      <color rgb="FFA8E917"/>
      <color rgb="FFC4D303"/>
      <color rgb="FF66FF33"/>
      <color rgb="FFCC99FF"/>
      <color rgb="FFFF99FF"/>
      <color rgb="FFA9A62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image" Target="../media/image2.jpg"/></Relationships>
</file>

<file path=xl/charts/_rels/chart1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image" Target="../media/image2.jpg"/></Relationships>
</file>

<file path=xl/charts/_rels/chart1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image" Target="../media/image2.jpg"/></Relationships>
</file>

<file path=xl/charts/_rels/chart1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image" Target="../media/image2.jpg"/></Relationships>
</file>

<file path=xl/charts/_rels/chart1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1" Type="http://schemas.openxmlformats.org/officeDocument/2006/relationships/image" Target="../media/image2.jpg"/></Relationships>
</file>

<file path=xl/charts/_rels/chart22.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22.xml"/></Relationships>
</file>

<file path=xl/charts/_rels/chart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image" Target="../media/image2.jpg"/></Relationships>
</file>

<file path=xl/charts/_rels/chart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image" Target="../media/image2.jpg"/></Relationships>
</file>

<file path=xl/charts/_rels/chart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image" Target="../media/image2.jpg"/></Relationships>
</file>

<file path=xl/charts/_rels/chart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9525">
                <a:solidFill>
                  <a:schemeClr val="accent1"/>
                </a:solidFill>
              </a:ln>
              <a:effectLst/>
            </c:spPr>
          </c:marker>
          <c:xVal>
            <c:numRef>
              <c:f>'1'!$B$9</c:f>
              <c:numCache>
                <c:formatCode>0.00</c:formatCode>
                <c:ptCount val="1"/>
                <c:pt idx="0">
                  <c:v>0</c:v>
                </c:pt>
              </c:numCache>
            </c:numRef>
          </c:xVal>
          <c:yVal>
            <c:numRef>
              <c:f>'1'!$Y$59</c:f>
              <c:numCache>
                <c:formatCode>0</c:formatCode>
                <c:ptCount val="1"/>
                <c:pt idx="0">
                  <c:v>1305</c:v>
                </c:pt>
              </c:numCache>
            </c:numRef>
          </c:yVal>
          <c:smooth val="0"/>
          <c:extLst>
            <c:ext xmlns:c16="http://schemas.microsoft.com/office/drawing/2014/chart" uri="{C3380CC4-5D6E-409C-BE32-E72D297353CC}">
              <c16:uniqueId val="{00000000-FC30-45FF-A920-29C7BA9A8A4E}"/>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06681710085"/>
          <c:y val="6.055300672969724E-2"/>
          <c:w val="0.86368415772272689"/>
          <c:h val="0.84387042832429549"/>
        </c:manualLayout>
      </c:layout>
      <c:scatterChart>
        <c:scatterStyle val="lineMarker"/>
        <c:varyColors val="0"/>
        <c:ser>
          <c:idx val="0"/>
          <c:order val="0"/>
          <c:tx>
            <c:strRef>
              <c:f>'5'!$B$2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23C-4953-87A5-E481D8E454E7}"/>
              </c:ext>
            </c:extLst>
          </c:dPt>
          <c:dLbls>
            <c:delete val="1"/>
          </c:dLbls>
          <c:xVal>
            <c:numRef>
              <c:f>'5'!$B$7</c:f>
              <c:numCache>
                <c:formatCode>0.00</c:formatCode>
                <c:ptCount val="1"/>
                <c:pt idx="0">
                  <c:v>3.4097786153597851</c:v>
                </c:pt>
              </c:numCache>
            </c:numRef>
          </c:xVal>
          <c:yVal>
            <c:numRef>
              <c:f>'5'!$C$7</c:f>
              <c:numCache>
                <c:formatCode>0.00</c:formatCode>
                <c:ptCount val="1"/>
                <c:pt idx="0">
                  <c:v>0.64009532426059279</c:v>
                </c:pt>
              </c:numCache>
            </c:numRef>
          </c:yVal>
          <c:smooth val="0"/>
          <c:extLst>
            <c:ext xmlns:c16="http://schemas.microsoft.com/office/drawing/2014/chart" uri="{C3380CC4-5D6E-409C-BE32-E72D297353CC}">
              <c16:uniqueId val="{00000001-C23C-4953-87A5-E481D8E454E7}"/>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'6'!$B$9</c:f>
              <c:numCache>
                <c:formatCode>0.00</c:formatCode>
                <c:ptCount val="1"/>
                <c:pt idx="0">
                  <c:v>0</c:v>
                </c:pt>
              </c:numCache>
            </c:numRef>
          </c:xVal>
          <c:yVal>
            <c:numRef>
              <c:f>'6'!$Y$59</c:f>
              <c:numCache>
                <c:formatCode>0</c:formatCode>
                <c:ptCount val="1"/>
                <c:pt idx="0">
                  <c:v>1305</c:v>
                </c:pt>
              </c:numCache>
            </c:numRef>
          </c:yVal>
          <c:smooth val="0"/>
          <c:extLst>
            <c:ext xmlns:c16="http://schemas.microsoft.com/office/drawing/2014/chart" uri="{C3380CC4-5D6E-409C-BE32-E72D297353CC}">
              <c16:uniqueId val="{00000000-8514-419C-8657-9F6B255C4BFF}"/>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'6'!$B$2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ACF-499E-A52E-9F182ACC460F}"/>
              </c:ext>
            </c:extLst>
          </c:dPt>
          <c:dLbls>
            <c:delete val="1"/>
          </c:dLbls>
          <c:xVal>
            <c:numRef>
              <c:f>'6'!$B$7</c:f>
              <c:numCache>
                <c:formatCode>0.00</c:formatCode>
                <c:ptCount val="1"/>
                <c:pt idx="0">
                  <c:v>3.4097786153597847</c:v>
                </c:pt>
              </c:numCache>
            </c:numRef>
          </c:xVal>
          <c:yVal>
            <c:numRef>
              <c:f>'6'!$C$7</c:f>
              <c:numCache>
                <c:formatCode>0.00</c:formatCode>
                <c:ptCount val="1"/>
                <c:pt idx="0">
                  <c:v>0.6828149771695522</c:v>
                </c:pt>
              </c:numCache>
            </c:numRef>
          </c:yVal>
          <c:smooth val="0"/>
          <c:extLst>
            <c:ext xmlns:c16="http://schemas.microsoft.com/office/drawing/2014/chart" uri="{C3380CC4-5D6E-409C-BE32-E72D297353CC}">
              <c16:uniqueId val="{00000001-3ACF-499E-A52E-9F182ACC460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'7'!$B$9</c:f>
              <c:numCache>
                <c:formatCode>0.00</c:formatCode>
                <c:ptCount val="1"/>
                <c:pt idx="0">
                  <c:v>0</c:v>
                </c:pt>
              </c:numCache>
            </c:numRef>
          </c:xVal>
          <c:yVal>
            <c:numRef>
              <c:f>'7'!$Y$59</c:f>
              <c:numCache>
                <c:formatCode>0</c:formatCode>
                <c:ptCount val="1"/>
                <c:pt idx="0">
                  <c:v>1305</c:v>
                </c:pt>
              </c:numCache>
            </c:numRef>
          </c:yVal>
          <c:smooth val="0"/>
          <c:extLst>
            <c:ext xmlns:c16="http://schemas.microsoft.com/office/drawing/2014/chart" uri="{C3380CC4-5D6E-409C-BE32-E72D297353CC}">
              <c16:uniqueId val="{00000000-1228-4CCD-807C-B55EF692F065}"/>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'7'!$B$2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D6A3-4A35-9D18-101979F08761}"/>
              </c:ext>
            </c:extLst>
          </c:dPt>
          <c:dLbls>
            <c:delete val="1"/>
          </c:dLbls>
          <c:xVal>
            <c:numRef>
              <c:f>'7'!$B$7</c:f>
              <c:numCache>
                <c:formatCode>0.00</c:formatCode>
                <c:ptCount val="1"/>
                <c:pt idx="0">
                  <c:v>3.4097786153597847</c:v>
                </c:pt>
              </c:numCache>
            </c:numRef>
          </c:xVal>
          <c:yVal>
            <c:numRef>
              <c:f>'7'!$C$7</c:f>
              <c:numCache>
                <c:formatCode>0.00</c:formatCode>
                <c:ptCount val="1"/>
                <c:pt idx="0">
                  <c:v>0.72553463007851127</c:v>
                </c:pt>
              </c:numCache>
            </c:numRef>
          </c:yVal>
          <c:smooth val="0"/>
          <c:extLst>
            <c:ext xmlns:c16="http://schemas.microsoft.com/office/drawing/2014/chart" uri="{C3380CC4-5D6E-409C-BE32-E72D297353CC}">
              <c16:uniqueId val="{00000001-D6A3-4A35-9D18-101979F0876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'7'!$B$9</c:f>
              <c:numCache>
                <c:formatCode>0.00</c:formatCode>
                <c:ptCount val="1"/>
                <c:pt idx="0">
                  <c:v>0</c:v>
                </c:pt>
              </c:numCache>
            </c:numRef>
          </c:xVal>
          <c:yVal>
            <c:numRef>
              <c:f>'7'!$Y$59</c:f>
              <c:numCache>
                <c:formatCode>0</c:formatCode>
                <c:ptCount val="1"/>
                <c:pt idx="0">
                  <c:v>1305</c:v>
                </c:pt>
              </c:numCache>
            </c:numRef>
          </c:yVal>
          <c:smooth val="0"/>
          <c:extLst>
            <c:ext xmlns:c16="http://schemas.microsoft.com/office/drawing/2014/chart" uri="{C3380CC4-5D6E-409C-BE32-E72D297353CC}">
              <c16:uniqueId val="{00000000-2C29-4701-A1B1-974D3E3049E2}"/>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'8'!$B$2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F51-48F0-9972-7D3730C121AC}"/>
              </c:ext>
            </c:extLst>
          </c:dPt>
          <c:dLbls>
            <c:delete val="1"/>
          </c:dLbls>
          <c:xVal>
            <c:numRef>
              <c:f>'8'!$B$7</c:f>
              <c:numCache>
                <c:formatCode>0.00</c:formatCode>
                <c:ptCount val="1"/>
                <c:pt idx="0">
                  <c:v>3.4097786153597851</c:v>
                </c:pt>
              </c:numCache>
            </c:numRef>
          </c:xVal>
          <c:yVal>
            <c:numRef>
              <c:f>'8'!$C$7</c:f>
              <c:numCache>
                <c:formatCode>0.00</c:formatCode>
                <c:ptCount val="1"/>
                <c:pt idx="0">
                  <c:v>0.76825428298747089</c:v>
                </c:pt>
              </c:numCache>
            </c:numRef>
          </c:yVal>
          <c:smooth val="0"/>
          <c:extLst>
            <c:ext xmlns:c16="http://schemas.microsoft.com/office/drawing/2014/chart" uri="{C3380CC4-5D6E-409C-BE32-E72D297353CC}">
              <c16:uniqueId val="{00000001-BF51-48F0-9972-7D3730C121A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'9'!$B$9</c:f>
              <c:numCache>
                <c:formatCode>0.00</c:formatCode>
                <c:ptCount val="1"/>
                <c:pt idx="0">
                  <c:v>0</c:v>
                </c:pt>
              </c:numCache>
            </c:numRef>
          </c:xVal>
          <c:yVal>
            <c:numRef>
              <c:f>'9'!$Y$59</c:f>
              <c:numCache>
                <c:formatCode>0</c:formatCode>
                <c:ptCount val="1"/>
                <c:pt idx="0">
                  <c:v>1305</c:v>
                </c:pt>
              </c:numCache>
            </c:numRef>
          </c:yVal>
          <c:smooth val="0"/>
          <c:extLst>
            <c:ext xmlns:c16="http://schemas.microsoft.com/office/drawing/2014/chart" uri="{C3380CC4-5D6E-409C-BE32-E72D297353CC}">
              <c16:uniqueId val="{00000000-31E1-45D6-AF15-8CD6EE7A24DA}"/>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'9'!$B$2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33C-4B98-857B-02C995E358C2}"/>
              </c:ext>
            </c:extLst>
          </c:dPt>
          <c:dLbls>
            <c:delete val="1"/>
          </c:dLbls>
          <c:xVal>
            <c:numRef>
              <c:f>'9'!$B$7</c:f>
              <c:numCache>
                <c:formatCode>0.00</c:formatCode>
                <c:ptCount val="1"/>
                <c:pt idx="0">
                  <c:v>3.4097786153597855</c:v>
                </c:pt>
              </c:numCache>
            </c:numRef>
          </c:xVal>
          <c:yVal>
            <c:numRef>
              <c:f>'9'!$C$7</c:f>
              <c:numCache>
                <c:formatCode>0.00</c:formatCode>
                <c:ptCount val="1"/>
                <c:pt idx="0">
                  <c:v>0.8109739358964303</c:v>
                </c:pt>
              </c:numCache>
            </c:numRef>
          </c:yVal>
          <c:smooth val="0"/>
          <c:extLst>
            <c:ext xmlns:c16="http://schemas.microsoft.com/office/drawing/2014/chart" uri="{C3380CC4-5D6E-409C-BE32-E72D297353CC}">
              <c16:uniqueId val="{00000001-433C-4B98-857B-02C995E358C2}"/>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'10'!$B$9</c:f>
              <c:numCache>
                <c:formatCode>0.00</c:formatCode>
                <c:ptCount val="1"/>
                <c:pt idx="0">
                  <c:v>0</c:v>
                </c:pt>
              </c:numCache>
            </c:numRef>
          </c:xVal>
          <c:yVal>
            <c:numRef>
              <c:f>'10'!$Y$59</c:f>
              <c:numCache>
                <c:formatCode>0</c:formatCode>
                <c:ptCount val="1"/>
                <c:pt idx="0">
                  <c:v>1305</c:v>
                </c:pt>
              </c:numCache>
            </c:numRef>
          </c:yVal>
          <c:smooth val="0"/>
          <c:extLst>
            <c:ext xmlns:c16="http://schemas.microsoft.com/office/drawing/2014/chart" uri="{C3380CC4-5D6E-409C-BE32-E72D297353CC}">
              <c16:uniqueId val="{00000000-87F7-4F41-A05E-A1812987EE9E}"/>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'1'!$B$2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F66-4E26-980C-549939B9A800}"/>
              </c:ext>
            </c:extLst>
          </c:dPt>
          <c:dLbls>
            <c:delete val="1"/>
          </c:dLbls>
          <c:xVal>
            <c:numRef>
              <c:f>'1'!$B$7</c:f>
              <c:numCache>
                <c:formatCode>0.00</c:formatCode>
                <c:ptCount val="1"/>
                <c:pt idx="0">
                  <c:v>3.4097786153597855</c:v>
                </c:pt>
              </c:numCache>
            </c:numRef>
          </c:xVal>
          <c:yVal>
            <c:numRef>
              <c:f>'1'!$C$7</c:f>
              <c:numCache>
                <c:formatCode>0.00</c:formatCode>
                <c:ptCount val="1"/>
                <c:pt idx="0">
                  <c:v>0.46921671262475573</c:v>
                </c:pt>
              </c:numCache>
            </c:numRef>
          </c:yVal>
          <c:smooth val="0"/>
          <c:extLst>
            <c:ext xmlns:c16="http://schemas.microsoft.com/office/drawing/2014/chart" uri="{C3380CC4-5D6E-409C-BE32-E72D297353CC}">
              <c16:uniqueId val="{00000001-3F66-4E26-980C-549939B9A80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'10'!$B$2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DF0-45D2-90D8-8D4639D29C98}"/>
              </c:ext>
            </c:extLst>
          </c:dPt>
          <c:dLbls>
            <c:delete val="1"/>
          </c:dLbls>
          <c:xVal>
            <c:numRef>
              <c:f>'10'!$B$7</c:f>
              <c:numCache>
                <c:formatCode>0.00</c:formatCode>
                <c:ptCount val="1"/>
                <c:pt idx="0">
                  <c:v>3.409778615359786</c:v>
                </c:pt>
              </c:numCache>
            </c:numRef>
          </c:xVal>
          <c:yVal>
            <c:numRef>
              <c:f>'10'!$C$7</c:f>
              <c:numCache>
                <c:formatCode>0.00</c:formatCode>
                <c:ptCount val="1"/>
                <c:pt idx="0">
                  <c:v>0.8536935888053897</c:v>
                </c:pt>
              </c:numCache>
            </c:numRef>
          </c:yVal>
          <c:smooth val="0"/>
          <c:extLst>
            <c:ext xmlns:c16="http://schemas.microsoft.com/office/drawing/2014/chart" uri="{C3380CC4-5D6E-409C-BE32-E72D297353CC}">
              <c16:uniqueId val="{00000001-4DF0-45D2-90D8-8D4639D29C9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hr-HR"/>
              <a:t>STULL </a:t>
            </a:r>
          </a:p>
        </c:rich>
      </c:tx>
      <c:layout>
        <c:manualLayout>
          <c:xMode val="edge"/>
          <c:yMode val="edge"/>
          <c:x val="0.48560753580913374"/>
          <c:y val="3.5065727531013841E-3"/>
        </c:manualLayout>
      </c:layout>
      <c:overlay val="0"/>
    </c:title>
    <c:autoTitleDeleted val="0"/>
    <c:plotArea>
      <c:layout>
        <c:manualLayout>
          <c:layoutTarget val="inner"/>
          <c:xMode val="edge"/>
          <c:yMode val="edge"/>
          <c:x val="8.0544877339600793E-2"/>
          <c:y val="5.1617441195879361E-2"/>
          <c:w val="0.87869296053207502"/>
          <c:h val="0.87797444343511599"/>
        </c:manualLayout>
      </c:layout>
      <c:scatterChart>
        <c:scatterStyle val="lineMarker"/>
        <c:varyColors val="0"/>
        <c:ser>
          <c:idx val="0"/>
          <c:order val="0"/>
          <c:spPr>
            <a:ln w="44450">
              <a:noFill/>
            </a:ln>
            <a:effectLst>
              <a:glow>
                <a:schemeClr val="accent1"/>
              </a:glow>
              <a:outerShdw blurRad="50800" dist="38100" dir="2700000" algn="tl" rotWithShape="0">
                <a:prstClr val="black">
                  <a:alpha val="40000"/>
                </a:prstClr>
              </a:outerShdw>
              <a:softEdge rad="0"/>
            </a:effectLst>
          </c:spPr>
          <c:marker>
            <c:symbol val="diamond"/>
            <c:size val="8"/>
            <c:spPr>
              <a:solidFill>
                <a:srgbClr val="FF0000"/>
              </a:solidFill>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bubble3D val="0"/>
            <c:extLst>
              <c:ext xmlns:c16="http://schemas.microsoft.com/office/drawing/2014/chart" uri="{C3380CC4-5D6E-409C-BE32-E72D297353CC}">
                <c16:uniqueId val="{00000000-02B0-435D-A30F-0F0FB8CCD1E0}"/>
              </c:ext>
            </c:extLst>
          </c:dPt>
          <c:dPt>
            <c:idx val="9"/>
            <c:marker>
              <c:spPr>
                <a:solidFill>
                  <a:schemeClr val="tx2"/>
                </a:solidFill>
                <a:ln>
                  <a:solidFill>
                    <a:schemeClr val="tx2"/>
                  </a:solidFill>
                </a:ln>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1-02B0-435D-A30F-0F0FB8CCD1E0}"/>
              </c:ext>
            </c:extLst>
          </c:dPt>
          <c:dLbls>
            <c:dLbl>
              <c:idx val="0"/>
              <c:tx>
                <c:rich>
                  <a:bodyPr/>
                  <a:lstStyle/>
                  <a:p>
                    <a:fld id="{5F04EE26-0A09-448E-8332-E88838BDF8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2B0-435D-A30F-0F0FB8CCD1E0}"/>
                </c:ext>
              </c:extLst>
            </c:dLbl>
            <c:dLbl>
              <c:idx val="1"/>
              <c:tx>
                <c:rich>
                  <a:bodyPr/>
                  <a:lstStyle/>
                  <a:p>
                    <a:fld id="{0B40C4C6-604D-4A75-82E0-8A579A0218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40-4F65-9922-A7E4DFBDE417}"/>
                </c:ext>
              </c:extLst>
            </c:dLbl>
            <c:dLbl>
              <c:idx val="2"/>
              <c:tx>
                <c:rich>
                  <a:bodyPr/>
                  <a:lstStyle/>
                  <a:p>
                    <a:fld id="{E47AD63E-4667-4108-AEAE-08651FAFD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40-4F65-9922-A7E4DFBDE417}"/>
                </c:ext>
              </c:extLst>
            </c:dLbl>
            <c:dLbl>
              <c:idx val="3"/>
              <c:tx>
                <c:rich>
                  <a:bodyPr/>
                  <a:lstStyle/>
                  <a:p>
                    <a:fld id="{E6A1A934-1B8C-4D14-9FB7-5C646CC3FC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40-4F65-9922-A7E4DFBDE417}"/>
                </c:ext>
              </c:extLst>
            </c:dLbl>
            <c:dLbl>
              <c:idx val="4"/>
              <c:tx>
                <c:rich>
                  <a:bodyPr/>
                  <a:lstStyle/>
                  <a:p>
                    <a:fld id="{41CFF6E6-250D-4F50-A2BE-F181B30554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40-4F65-9922-A7E4DFBDE417}"/>
                </c:ext>
              </c:extLst>
            </c:dLbl>
            <c:dLbl>
              <c:idx val="5"/>
              <c:tx>
                <c:rich>
                  <a:bodyPr/>
                  <a:lstStyle/>
                  <a:p>
                    <a:fld id="{AA84A79A-B58D-4525-83B5-021A407F56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40-4F65-9922-A7E4DFBDE417}"/>
                </c:ext>
              </c:extLst>
            </c:dLbl>
            <c:dLbl>
              <c:idx val="6"/>
              <c:tx>
                <c:rich>
                  <a:bodyPr/>
                  <a:lstStyle/>
                  <a:p>
                    <a:fld id="{9E372981-BAB4-4205-8CC2-028A899384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40-4F65-9922-A7E4DFBDE417}"/>
                </c:ext>
              </c:extLst>
            </c:dLbl>
            <c:dLbl>
              <c:idx val="7"/>
              <c:tx>
                <c:rich>
                  <a:bodyPr/>
                  <a:lstStyle/>
                  <a:p>
                    <a:fld id="{B29CBA7E-1849-44B1-9F12-171A094A13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40-4F65-9922-A7E4DFBDE417}"/>
                </c:ext>
              </c:extLst>
            </c:dLbl>
            <c:dLbl>
              <c:idx val="8"/>
              <c:tx>
                <c:rich>
                  <a:bodyPr/>
                  <a:lstStyle/>
                  <a:p>
                    <a:fld id="{7F07AF16-A149-4826-94D5-515FE24250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40-4F65-9922-A7E4DFBDE417}"/>
                </c:ext>
              </c:extLst>
            </c:dLbl>
            <c:dLbl>
              <c:idx val="9"/>
              <c:tx>
                <c:rich>
                  <a:bodyPr/>
                  <a:lstStyle/>
                  <a:p>
                    <a:fld id="{E8D8A3D4-03D5-440E-BD7A-088AD1C45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B0-435D-A30F-0F0FB8CCD1E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'Collective Maps'!$T$5:$T$14</c:f>
              <c:numCache>
                <c:formatCode>0.00000</c:formatCode>
                <c:ptCount val="10"/>
                <c:pt idx="0">
                  <c:v>3.4097786153597855</c:v>
                </c:pt>
                <c:pt idx="1">
                  <c:v>3.4097786153597838</c:v>
                </c:pt>
                <c:pt idx="2">
                  <c:v>3.4097786153597855</c:v>
                </c:pt>
                <c:pt idx="3">
                  <c:v>3.4097786153597851</c:v>
                </c:pt>
                <c:pt idx="4">
                  <c:v>3.4097786153597851</c:v>
                </c:pt>
                <c:pt idx="5">
                  <c:v>3.4097786153597847</c:v>
                </c:pt>
                <c:pt idx="6">
                  <c:v>3.4097786153597847</c:v>
                </c:pt>
                <c:pt idx="7">
                  <c:v>3.4097786153597851</c:v>
                </c:pt>
                <c:pt idx="8">
                  <c:v>3.4097786153597855</c:v>
                </c:pt>
                <c:pt idx="9">
                  <c:v>3.409778615359786</c:v>
                </c:pt>
              </c:numCache>
            </c:numRef>
          </c:xVal>
          <c:yVal>
            <c:numRef>
              <c:f>'Collective Maps'!$U$5:$U$14</c:f>
              <c:numCache>
                <c:formatCode>0.00000</c:formatCode>
                <c:ptCount val="10"/>
                <c:pt idx="0">
                  <c:v>0.46921671262475573</c:v>
                </c:pt>
                <c:pt idx="1">
                  <c:v>0.51193636553371491</c:v>
                </c:pt>
                <c:pt idx="2">
                  <c:v>0.55465601844267443</c:v>
                </c:pt>
                <c:pt idx="3">
                  <c:v>0.59737567135163361</c:v>
                </c:pt>
                <c:pt idx="4">
                  <c:v>0.64009532426059279</c:v>
                </c:pt>
                <c:pt idx="5">
                  <c:v>0.6828149771695522</c:v>
                </c:pt>
                <c:pt idx="6">
                  <c:v>0.72553463007851127</c:v>
                </c:pt>
                <c:pt idx="7">
                  <c:v>0.76825428298747089</c:v>
                </c:pt>
                <c:pt idx="8">
                  <c:v>0.8109739358964303</c:v>
                </c:pt>
                <c:pt idx="9">
                  <c:v>0.8536935888053897</c:v>
                </c:pt>
              </c:numCache>
            </c:numRef>
          </c:yVal>
          <c:smooth val="0"/>
          <c:extLst>
            <c:ext xmlns:c15="http://schemas.microsoft.com/office/drawing/2012/chart" uri="{02D57815-91ED-43cb-92C2-25804820EDAC}">
              <c15:datalabelsRange>
                <c15:f>'Collective Maps'!$S$5:$S$14</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002-02B0-435D-A30F-0F0FB8CCD1E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600"/>
                  <a:t>MOLECULES  SiO</a:t>
                </a:r>
                <a:r>
                  <a:rPr lang="hr-HR" sz="1600" baseline="-25000"/>
                  <a:t>2</a:t>
                </a:r>
              </a:p>
            </c:rich>
          </c:tx>
          <c:layout>
            <c:manualLayout>
              <c:xMode val="edge"/>
              <c:yMode val="edge"/>
              <c:x val="0.44427272961233594"/>
              <c:y val="0.96023850216882922"/>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600"/>
                  <a:t>MOL</a:t>
                </a:r>
                <a:r>
                  <a:rPr lang="en-US" sz="1600"/>
                  <a:t>E</a:t>
                </a:r>
                <a:r>
                  <a:rPr lang="hr-HR" sz="1600"/>
                  <a:t>C</a:t>
                </a:r>
                <a:r>
                  <a:rPr lang="en-US" sz="1600"/>
                  <a:t>U</a:t>
                </a:r>
                <a:r>
                  <a:rPr lang="hr-HR" sz="1600"/>
                  <a:t>LES  </a:t>
                </a:r>
                <a:r>
                  <a:rPr lang="hr-HR" sz="1600" baseline="0"/>
                  <a:t> Al</a:t>
                </a:r>
                <a:r>
                  <a:rPr lang="hr-HR" sz="1600" baseline="-25000"/>
                  <a:t>2</a:t>
                </a:r>
                <a:r>
                  <a:rPr lang="hr-HR" sz="1600" baseline="0"/>
                  <a:t>O</a:t>
                </a:r>
                <a:r>
                  <a:rPr lang="hr-HR" sz="1600" baseline="-25000"/>
                  <a:t>3</a:t>
                </a:r>
              </a:p>
            </c:rich>
          </c:tx>
          <c:layout>
            <c:manualLayout>
              <c:xMode val="edge"/>
              <c:yMode val="edge"/>
              <c:x val="1.0612905464169835E-2"/>
              <c:y val="0.43483713395436824"/>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12700" cap="sq">
          <a:noFill/>
        </a:ln>
        <a:effectLst/>
      </c:spPr>
    </c:plotArea>
    <c:plotVisOnly val="1"/>
    <c:dispBlanksAs val="gap"/>
    <c:showDLblsOverMax val="0"/>
  </c:chart>
  <c:spPr>
    <a:blipFill dpi="0" rotWithShape="1">
      <a:blip xmlns:r="http://schemas.openxmlformats.org/officeDocument/2006/relationships" r:embed="rId1"/>
      <a:srcRect/>
      <a:stretch>
        <a:fillRect l="8000" t="4000" r="4000" b="7000"/>
      </a:stretch>
    </a:blipFill>
    <a:ln w="0" cap="rnd"/>
    <a:effectLst>
      <a:glow>
        <a:schemeClr val="accent1">
          <a:alpha val="41000"/>
        </a:schemeClr>
      </a:glow>
    </a:effec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dLbls>
            <c:dLbl>
              <c:idx val="0"/>
              <c:tx>
                <c:rich>
                  <a:bodyPr/>
                  <a:lstStyle/>
                  <a:p>
                    <a:fld id="{CB17F081-8EE5-4156-8FEA-1C8FAAA7E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3BD-4A09-B8E9-1D22E61B4767}"/>
                </c:ext>
              </c:extLst>
            </c:dLbl>
            <c:dLbl>
              <c:idx val="1"/>
              <c:tx>
                <c:rich>
                  <a:bodyPr/>
                  <a:lstStyle/>
                  <a:p>
                    <a:fld id="{214DAD36-E3FA-4423-AEC8-6340B637F3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3BD-4A09-B8E9-1D22E61B4767}"/>
                </c:ext>
              </c:extLst>
            </c:dLbl>
            <c:dLbl>
              <c:idx val="2"/>
              <c:tx>
                <c:rich>
                  <a:bodyPr/>
                  <a:lstStyle/>
                  <a:p>
                    <a:fld id="{61AF9A8E-C1A3-4564-8DB7-69D87E11EA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3BD-4A09-B8E9-1D22E61B4767}"/>
                </c:ext>
              </c:extLst>
            </c:dLbl>
            <c:dLbl>
              <c:idx val="3"/>
              <c:tx>
                <c:rich>
                  <a:bodyPr/>
                  <a:lstStyle/>
                  <a:p>
                    <a:fld id="{A2E25DC8-C8F0-42F8-9080-0DF73925C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3BD-4A09-B8E9-1D22E61B4767}"/>
                </c:ext>
              </c:extLst>
            </c:dLbl>
            <c:dLbl>
              <c:idx val="4"/>
              <c:tx>
                <c:rich>
                  <a:bodyPr/>
                  <a:lstStyle/>
                  <a:p>
                    <a:fld id="{E78B2583-D3BF-4752-AFAD-C35819D67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3BD-4A09-B8E9-1D22E61B4767}"/>
                </c:ext>
              </c:extLst>
            </c:dLbl>
            <c:dLbl>
              <c:idx val="5"/>
              <c:tx>
                <c:rich>
                  <a:bodyPr/>
                  <a:lstStyle/>
                  <a:p>
                    <a:fld id="{94C4012D-966B-4B2A-A0AB-DEE1F32927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3BD-4A09-B8E9-1D22E61B4767}"/>
                </c:ext>
              </c:extLst>
            </c:dLbl>
            <c:dLbl>
              <c:idx val="6"/>
              <c:tx>
                <c:rich>
                  <a:bodyPr/>
                  <a:lstStyle/>
                  <a:p>
                    <a:fld id="{53B82823-F87F-4516-B2F5-D513A1AE80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3BD-4A09-B8E9-1D22E61B4767}"/>
                </c:ext>
              </c:extLst>
            </c:dLbl>
            <c:dLbl>
              <c:idx val="7"/>
              <c:tx>
                <c:rich>
                  <a:bodyPr/>
                  <a:lstStyle/>
                  <a:p>
                    <a:fld id="{6AEF8252-0447-416F-AD4F-7EA17DA067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3BD-4A09-B8E9-1D22E61B4767}"/>
                </c:ext>
              </c:extLst>
            </c:dLbl>
            <c:dLbl>
              <c:idx val="8"/>
              <c:tx>
                <c:rich>
                  <a:bodyPr/>
                  <a:lstStyle/>
                  <a:p>
                    <a:fld id="{868BE31C-868E-4E91-AE10-ECF554D5EC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3BD-4A09-B8E9-1D22E61B4767}"/>
                </c:ext>
              </c:extLst>
            </c:dLbl>
            <c:dLbl>
              <c:idx val="9"/>
              <c:tx>
                <c:rich>
                  <a:bodyPr/>
                  <a:lstStyle/>
                  <a:p>
                    <a:fld id="{A30B04AB-02C8-444A-849C-A2D67C30D1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3BD-4A09-B8E9-1D22E61B47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'Collective Maps'!$W$5:$W$14</c:f>
              <c:numCache>
                <c:formatCode>0.00000</c:formatCode>
                <c:ptCount val="10"/>
                <c:pt idx="0">
                  <c:v>0</c:v>
                </c:pt>
                <c:pt idx="1">
                  <c:v>0</c:v>
                </c:pt>
                <c:pt idx="2">
                  <c:v>0</c:v>
                </c:pt>
                <c:pt idx="3">
                  <c:v>0</c:v>
                </c:pt>
                <c:pt idx="4">
                  <c:v>0</c:v>
                </c:pt>
                <c:pt idx="5">
                  <c:v>0</c:v>
                </c:pt>
                <c:pt idx="6">
                  <c:v>0</c:v>
                </c:pt>
                <c:pt idx="7">
                  <c:v>0</c:v>
                </c:pt>
                <c:pt idx="8">
                  <c:v>0</c:v>
                </c:pt>
                <c:pt idx="9">
                  <c:v>0</c:v>
                </c:pt>
              </c:numCache>
            </c:numRef>
          </c:xVal>
          <c:yVal>
            <c:numRef>
              <c:f>'Collective Maps'!$AA$5:$AA$14</c:f>
              <c:numCache>
                <c:formatCode>0</c:formatCode>
                <c:ptCount val="10"/>
                <c:pt idx="0">
                  <c:v>1305</c:v>
                </c:pt>
                <c:pt idx="1">
                  <c:v>1305</c:v>
                </c:pt>
                <c:pt idx="2">
                  <c:v>1305</c:v>
                </c:pt>
                <c:pt idx="3">
                  <c:v>1305</c:v>
                </c:pt>
                <c:pt idx="4">
                  <c:v>1305</c:v>
                </c:pt>
                <c:pt idx="5">
                  <c:v>1305</c:v>
                </c:pt>
                <c:pt idx="6">
                  <c:v>1305</c:v>
                </c:pt>
                <c:pt idx="7">
                  <c:v>1305</c:v>
                </c:pt>
                <c:pt idx="8">
                  <c:v>1305</c:v>
                </c:pt>
                <c:pt idx="9">
                  <c:v>1305</c:v>
                </c:pt>
              </c:numCache>
            </c:numRef>
          </c:yVal>
          <c:smooth val="0"/>
          <c:extLst>
            <c:ext xmlns:c15="http://schemas.microsoft.com/office/drawing/2012/chart" uri="{02D57815-91ED-43cb-92C2-25804820EDAC}">
              <c15:datalabelsRange>
                <c15:f>'Collective Maps'!$S$5:$S$14</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000-13BD-4A09-B8E9-1D22E61B4767}"/>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9525">
                <a:solidFill>
                  <a:schemeClr val="accent1"/>
                </a:solidFill>
              </a:ln>
              <a:effectLst/>
            </c:spPr>
          </c:marker>
          <c:xVal>
            <c:numRef>
              <c:f>'2'!$B$9</c:f>
              <c:numCache>
                <c:formatCode>0.00</c:formatCode>
                <c:ptCount val="1"/>
                <c:pt idx="0">
                  <c:v>0</c:v>
                </c:pt>
              </c:numCache>
            </c:numRef>
          </c:xVal>
          <c:yVal>
            <c:numRef>
              <c:f>'2'!$Y$59</c:f>
              <c:numCache>
                <c:formatCode>0</c:formatCode>
                <c:ptCount val="1"/>
                <c:pt idx="0">
                  <c:v>1305</c:v>
                </c:pt>
              </c:numCache>
            </c:numRef>
          </c:yVal>
          <c:smooth val="0"/>
          <c:extLst>
            <c:ext xmlns:c16="http://schemas.microsoft.com/office/drawing/2014/chart" uri="{C3380CC4-5D6E-409C-BE32-E72D297353CC}">
              <c16:uniqueId val="{00000000-54D7-40B7-9EE6-5AA7A4CDDB0B}"/>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'2'!$B$2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80A-453D-BE73-01BBB601F49B}"/>
              </c:ext>
            </c:extLst>
          </c:dPt>
          <c:dLbls>
            <c:delete val="1"/>
          </c:dLbls>
          <c:xVal>
            <c:numRef>
              <c:f>'2'!$B$7</c:f>
              <c:numCache>
                <c:formatCode>0.00</c:formatCode>
                <c:ptCount val="1"/>
                <c:pt idx="0">
                  <c:v>3.4097786153597838</c:v>
                </c:pt>
              </c:numCache>
            </c:numRef>
          </c:xVal>
          <c:yVal>
            <c:numRef>
              <c:f>'2'!$C$7</c:f>
              <c:numCache>
                <c:formatCode>0.00</c:formatCode>
                <c:ptCount val="1"/>
                <c:pt idx="0">
                  <c:v>0.51193636553371491</c:v>
                </c:pt>
              </c:numCache>
            </c:numRef>
          </c:yVal>
          <c:smooth val="0"/>
          <c:extLst>
            <c:ext xmlns:c16="http://schemas.microsoft.com/office/drawing/2014/chart" uri="{C3380CC4-5D6E-409C-BE32-E72D297353CC}">
              <c16:uniqueId val="{00000001-780A-453D-BE73-01BBB601F49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'3'!$B$9</c:f>
              <c:numCache>
                <c:formatCode>0.00</c:formatCode>
                <c:ptCount val="1"/>
                <c:pt idx="0">
                  <c:v>0</c:v>
                </c:pt>
              </c:numCache>
            </c:numRef>
          </c:xVal>
          <c:yVal>
            <c:numRef>
              <c:f>'3'!$Y$59</c:f>
              <c:numCache>
                <c:formatCode>0</c:formatCode>
                <c:ptCount val="1"/>
                <c:pt idx="0">
                  <c:v>1305</c:v>
                </c:pt>
              </c:numCache>
            </c:numRef>
          </c:yVal>
          <c:smooth val="0"/>
          <c:extLst>
            <c:ext xmlns:c16="http://schemas.microsoft.com/office/drawing/2014/chart" uri="{C3380CC4-5D6E-409C-BE32-E72D297353CC}">
              <c16:uniqueId val="{00000000-5B92-4C7E-A104-00E1915D9CE9}"/>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'3'!$B$2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956-42A1-8112-246649B83ACB}"/>
              </c:ext>
            </c:extLst>
          </c:dPt>
          <c:dLbls>
            <c:delete val="1"/>
          </c:dLbls>
          <c:xVal>
            <c:numRef>
              <c:f>'3'!$B$7</c:f>
              <c:numCache>
                <c:formatCode>0.00</c:formatCode>
                <c:ptCount val="1"/>
                <c:pt idx="0">
                  <c:v>3.4097786153597855</c:v>
                </c:pt>
              </c:numCache>
            </c:numRef>
          </c:xVal>
          <c:yVal>
            <c:numRef>
              <c:f>'3'!$C$7</c:f>
              <c:numCache>
                <c:formatCode>0.00</c:formatCode>
                <c:ptCount val="1"/>
                <c:pt idx="0">
                  <c:v>0.55465601844267443</c:v>
                </c:pt>
              </c:numCache>
            </c:numRef>
          </c:yVal>
          <c:smooth val="0"/>
          <c:extLst>
            <c:ext xmlns:c16="http://schemas.microsoft.com/office/drawing/2014/chart" uri="{C3380CC4-5D6E-409C-BE32-E72D297353CC}">
              <c16:uniqueId val="{00000001-1956-42A1-8112-246649B83AC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'4'!$B$9</c:f>
              <c:numCache>
                <c:formatCode>0.00</c:formatCode>
                <c:ptCount val="1"/>
                <c:pt idx="0">
                  <c:v>0</c:v>
                </c:pt>
              </c:numCache>
            </c:numRef>
          </c:xVal>
          <c:yVal>
            <c:numRef>
              <c:f>'4'!$Y$59</c:f>
              <c:numCache>
                <c:formatCode>0</c:formatCode>
                <c:ptCount val="1"/>
                <c:pt idx="0">
                  <c:v>1305</c:v>
                </c:pt>
              </c:numCache>
            </c:numRef>
          </c:yVal>
          <c:smooth val="0"/>
          <c:extLst>
            <c:ext xmlns:c16="http://schemas.microsoft.com/office/drawing/2014/chart" uri="{C3380CC4-5D6E-409C-BE32-E72D297353CC}">
              <c16:uniqueId val="{00000000-1A09-43B9-B650-791F3A4A209B}"/>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0.11212312097967046"/>
          <c:y val="6.5450633009109152E-2"/>
          <c:w val="0.86368415772272689"/>
          <c:h val="0.84387042832429549"/>
        </c:manualLayout>
      </c:layout>
      <c:scatterChart>
        <c:scatterStyle val="lineMarker"/>
        <c:varyColors val="0"/>
        <c:ser>
          <c:idx val="0"/>
          <c:order val="0"/>
          <c:tx>
            <c:strRef>
              <c:f>'4'!$B$2</c:f>
              <c:strCache>
                <c:ptCount val="1"/>
                <c:pt idx="0">
                  <c:v>010119</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9A7-4F0E-98A9-5BE0F42A30A2}"/>
              </c:ext>
            </c:extLst>
          </c:dPt>
          <c:dLbls>
            <c:delete val="1"/>
          </c:dLbls>
          <c:xVal>
            <c:numRef>
              <c:f>'4'!$B$7</c:f>
              <c:numCache>
                <c:formatCode>0.00</c:formatCode>
                <c:ptCount val="1"/>
                <c:pt idx="0">
                  <c:v>3.4097786153597851</c:v>
                </c:pt>
              </c:numCache>
            </c:numRef>
          </c:xVal>
          <c:yVal>
            <c:numRef>
              <c:f>'4'!$C$7</c:f>
              <c:numCache>
                <c:formatCode>0.00</c:formatCode>
                <c:ptCount val="1"/>
                <c:pt idx="0">
                  <c:v>0.59737567135163361</c:v>
                </c:pt>
              </c:numCache>
            </c:numRef>
          </c:yVal>
          <c:smooth val="0"/>
          <c:extLst>
            <c:ext xmlns:c16="http://schemas.microsoft.com/office/drawing/2014/chart" uri="{C3380CC4-5D6E-409C-BE32-E72D297353CC}">
              <c16:uniqueId val="{00000001-89A7-4F0E-98A9-5BE0F42A30A2}"/>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400"/>
                  <a:t>MOLECULES  SiO</a:t>
                </a:r>
                <a:r>
                  <a:rPr lang="hr-HR" sz="1400"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400"/>
                  <a:t>MOL</a:t>
                </a:r>
                <a:r>
                  <a:rPr lang="en-US" sz="1400"/>
                  <a:t>E</a:t>
                </a:r>
                <a:r>
                  <a:rPr lang="hr-HR" sz="1400"/>
                  <a:t>C</a:t>
                </a:r>
                <a:r>
                  <a:rPr lang="en-US" sz="1400"/>
                  <a:t>U</a:t>
                </a:r>
                <a:r>
                  <a:rPr lang="hr-HR" sz="1400"/>
                  <a:t>LES  </a:t>
                </a:r>
                <a:r>
                  <a:rPr lang="hr-HR" sz="1400" baseline="0"/>
                  <a:t> Al</a:t>
                </a:r>
                <a:r>
                  <a:rPr lang="hr-HR" sz="1400" baseline="-25000"/>
                  <a:t>2</a:t>
                </a:r>
                <a:r>
                  <a:rPr lang="hr-HR" sz="1400" baseline="0"/>
                  <a:t>O</a:t>
                </a:r>
                <a:r>
                  <a:rPr lang="hr-HR" sz="1400"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25400">
          <a:noFill/>
        </a:ln>
        <a:effectLst/>
      </c:spPr>
    </c:plotArea>
    <c:plotVisOnly val="1"/>
    <c:dispBlanksAs val="gap"/>
    <c:showDLblsOverMax val="0"/>
  </c:chart>
  <c:spPr>
    <a:blipFill dpi="0" rotWithShape="1">
      <a:blip xmlns:r="http://schemas.openxmlformats.org/officeDocument/2006/relationships" r:embed="rId1"/>
      <a:srcRect/>
      <a:stretch>
        <a:fillRect l="11000" t="6000" r="2000" b="9000"/>
      </a:stretch>
    </a:blipFill>
    <a:ln w="12700" cap="sq">
      <a:solidFill>
        <a:schemeClr val="tx1"/>
      </a:solidFill>
      <a:bevel/>
    </a:ln>
    <a:effectLst>
      <a:glow>
        <a:schemeClr val="accent1">
          <a:alpha val="41000"/>
        </a:schemeClr>
      </a:glow>
    </a:effec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'5'!$B$9</c:f>
              <c:numCache>
                <c:formatCode>0.00</c:formatCode>
                <c:ptCount val="1"/>
                <c:pt idx="0">
                  <c:v>0</c:v>
                </c:pt>
              </c:numCache>
            </c:numRef>
          </c:xVal>
          <c:yVal>
            <c:numRef>
              <c:f>'5'!$Y$59</c:f>
              <c:numCache>
                <c:formatCode>0</c:formatCode>
                <c:ptCount val="1"/>
                <c:pt idx="0">
                  <c:v>1305</c:v>
                </c:pt>
              </c:numCache>
            </c:numRef>
          </c:yVal>
          <c:smooth val="0"/>
          <c:extLst>
            <c:ext xmlns:c16="http://schemas.microsoft.com/office/drawing/2014/chart" uri="{C3380CC4-5D6E-409C-BE32-E72D297353CC}">
              <c16:uniqueId val="{00000000-273E-4253-A68B-CE7336C2F4F6}"/>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6046</xdr:colOff>
      <xdr:row>17</xdr:row>
      <xdr:rowOff>143177</xdr:rowOff>
    </xdr:from>
    <xdr:to>
      <xdr:col>20</xdr:col>
      <xdr:colOff>387124</xdr:colOff>
      <xdr:row>33</xdr:row>
      <xdr:rowOff>169902</xdr:rowOff>
    </xdr:to>
    <xdr:graphicFrame macro="">
      <xdr:nvGraphicFramePr>
        <xdr:cNvPr id="6" name="Chart 5" title="U.M.F. Boron">
          <a:extLst>
            <a:ext uri="{FF2B5EF4-FFF2-40B4-BE49-F238E27FC236}">
              <a16:creationId xmlns:a16="http://schemas.microsoft.com/office/drawing/2014/main" id="{A70544ED-4BE0-4F9B-9066-2ABE53A18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7632</xdr:colOff>
      <xdr:row>1</xdr:row>
      <xdr:rowOff>0</xdr:rowOff>
    </xdr:from>
    <xdr:to>
      <xdr:col>20</xdr:col>
      <xdr:colOff>389118</xdr:colOff>
      <xdr:row>17</xdr:row>
      <xdr:rowOff>139221</xdr:rowOff>
    </xdr:to>
    <xdr:graphicFrame macro="">
      <xdr:nvGraphicFramePr>
        <xdr:cNvPr id="7" name="Chart 6" title="STULL CONE 10">
          <a:extLst>
            <a:ext uri="{FF2B5EF4-FFF2-40B4-BE49-F238E27FC236}">
              <a16:creationId xmlns:a16="http://schemas.microsoft.com/office/drawing/2014/main" id="{31C67F42-3E31-46D7-B2EE-CAD4FAADD27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5442</xdr:colOff>
      <xdr:row>17</xdr:row>
      <xdr:rowOff>105682</xdr:rowOff>
    </xdr:from>
    <xdr:to>
      <xdr:col>20</xdr:col>
      <xdr:colOff>392568</xdr:colOff>
      <xdr:row>33</xdr:row>
      <xdr:rowOff>113053</xdr:rowOff>
    </xdr:to>
    <xdr:graphicFrame macro="">
      <xdr:nvGraphicFramePr>
        <xdr:cNvPr id="4" name="Chart 3" title="U.M.F. Boron">
          <a:extLst>
            <a:ext uri="{FF2B5EF4-FFF2-40B4-BE49-F238E27FC236}">
              <a16:creationId xmlns:a16="http://schemas.microsoft.com/office/drawing/2014/main" id="{DC57850E-ED37-4EAA-812C-55E1CF559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6123</xdr:colOff>
      <xdr:row>0</xdr:row>
      <xdr:rowOff>195942</xdr:rowOff>
    </xdr:from>
    <xdr:to>
      <xdr:col>20</xdr:col>
      <xdr:colOff>393657</xdr:colOff>
      <xdr:row>17</xdr:row>
      <xdr:rowOff>102637</xdr:rowOff>
    </xdr:to>
    <xdr:graphicFrame macro="">
      <xdr:nvGraphicFramePr>
        <xdr:cNvPr id="5" name="Chart 4" title="STULL CONE 10">
          <a:extLst>
            <a:ext uri="{FF2B5EF4-FFF2-40B4-BE49-F238E27FC236}">
              <a16:creationId xmlns:a16="http://schemas.microsoft.com/office/drawing/2014/main" id="{DEB083C2-D2DF-4016-80D9-E20A2D133E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1997528</xdr:colOff>
      <xdr:row>17</xdr:row>
      <xdr:rowOff>105683</xdr:rowOff>
    </xdr:from>
    <xdr:to>
      <xdr:col>20</xdr:col>
      <xdr:colOff>387125</xdr:colOff>
      <xdr:row>33</xdr:row>
      <xdr:rowOff>113054</xdr:rowOff>
    </xdr:to>
    <xdr:graphicFrame macro="">
      <xdr:nvGraphicFramePr>
        <xdr:cNvPr id="6" name="Chart 5" title="U.M.F. Boron">
          <a:extLst>
            <a:ext uri="{FF2B5EF4-FFF2-40B4-BE49-F238E27FC236}">
              <a16:creationId xmlns:a16="http://schemas.microsoft.com/office/drawing/2014/main" id="{2A8378EF-FF9B-45D9-9756-3DD08B868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680</xdr:colOff>
      <xdr:row>1</xdr:row>
      <xdr:rowOff>0</xdr:rowOff>
    </xdr:from>
    <xdr:to>
      <xdr:col>20</xdr:col>
      <xdr:colOff>388214</xdr:colOff>
      <xdr:row>17</xdr:row>
      <xdr:rowOff>102638</xdr:rowOff>
    </xdr:to>
    <xdr:graphicFrame macro="">
      <xdr:nvGraphicFramePr>
        <xdr:cNvPr id="7" name="Chart 6" title="STULL CONE 10">
          <a:extLst>
            <a:ext uri="{FF2B5EF4-FFF2-40B4-BE49-F238E27FC236}">
              <a16:creationId xmlns:a16="http://schemas.microsoft.com/office/drawing/2014/main" id="{83875E2C-9E95-4366-B93D-3D298DE1C21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0</xdr:colOff>
      <xdr:row>17</xdr:row>
      <xdr:rowOff>105683</xdr:rowOff>
    </xdr:from>
    <xdr:to>
      <xdr:col>20</xdr:col>
      <xdr:colOff>387126</xdr:colOff>
      <xdr:row>33</xdr:row>
      <xdr:rowOff>113054</xdr:rowOff>
    </xdr:to>
    <xdr:graphicFrame macro="">
      <xdr:nvGraphicFramePr>
        <xdr:cNvPr id="4" name="Chart 3" title="U.M.F. Boron">
          <a:extLst>
            <a:ext uri="{FF2B5EF4-FFF2-40B4-BE49-F238E27FC236}">
              <a16:creationId xmlns:a16="http://schemas.microsoft.com/office/drawing/2014/main" id="{677961CE-CF2A-4F3B-BB34-B116488C9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681</xdr:colOff>
      <xdr:row>1</xdr:row>
      <xdr:rowOff>0</xdr:rowOff>
    </xdr:from>
    <xdr:to>
      <xdr:col>20</xdr:col>
      <xdr:colOff>388215</xdr:colOff>
      <xdr:row>17</xdr:row>
      <xdr:rowOff>102638</xdr:rowOff>
    </xdr:to>
    <xdr:graphicFrame macro="">
      <xdr:nvGraphicFramePr>
        <xdr:cNvPr id="5" name="Chart 4" title="STULL CONE 10">
          <a:extLst>
            <a:ext uri="{FF2B5EF4-FFF2-40B4-BE49-F238E27FC236}">
              <a16:creationId xmlns:a16="http://schemas.microsoft.com/office/drawing/2014/main" id="{D2B8D329-480B-4F44-B881-1E1B97CB132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0</xdr:colOff>
      <xdr:row>17</xdr:row>
      <xdr:rowOff>105683</xdr:rowOff>
    </xdr:from>
    <xdr:to>
      <xdr:col>20</xdr:col>
      <xdr:colOff>387126</xdr:colOff>
      <xdr:row>33</xdr:row>
      <xdr:rowOff>113054</xdr:rowOff>
    </xdr:to>
    <xdr:graphicFrame macro="">
      <xdr:nvGraphicFramePr>
        <xdr:cNvPr id="4" name="Chart 3" title="U.M.F. Boron">
          <a:extLst>
            <a:ext uri="{FF2B5EF4-FFF2-40B4-BE49-F238E27FC236}">
              <a16:creationId xmlns:a16="http://schemas.microsoft.com/office/drawing/2014/main" id="{8C0500C1-7F92-45BA-96D9-EA5897268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681</xdr:colOff>
      <xdr:row>1</xdr:row>
      <xdr:rowOff>0</xdr:rowOff>
    </xdr:from>
    <xdr:to>
      <xdr:col>20</xdr:col>
      <xdr:colOff>388215</xdr:colOff>
      <xdr:row>17</xdr:row>
      <xdr:rowOff>102638</xdr:rowOff>
    </xdr:to>
    <xdr:graphicFrame macro="">
      <xdr:nvGraphicFramePr>
        <xdr:cNvPr id="5" name="Chart 4" title="STULL CONE 10">
          <a:extLst>
            <a:ext uri="{FF2B5EF4-FFF2-40B4-BE49-F238E27FC236}">
              <a16:creationId xmlns:a16="http://schemas.microsoft.com/office/drawing/2014/main" id="{7A47AD5E-0F8F-43AF-830C-D4B38128FC9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9.xml><?xml version="1.0" encoding="utf-8"?>
<xdr:wsDr xmlns:xdr="http://schemas.openxmlformats.org/drawingml/2006/spreadsheetDrawing" xmlns:a="http://schemas.openxmlformats.org/drawingml/2006/main">
  <xdr:twoCellAnchor>
    <xdr:from>
      <xdr:col>6</xdr:col>
      <xdr:colOff>1997528</xdr:colOff>
      <xdr:row>17</xdr:row>
      <xdr:rowOff>105683</xdr:rowOff>
    </xdr:from>
    <xdr:to>
      <xdr:col>20</xdr:col>
      <xdr:colOff>387125</xdr:colOff>
      <xdr:row>33</xdr:row>
      <xdr:rowOff>113054</xdr:rowOff>
    </xdr:to>
    <xdr:graphicFrame macro="">
      <xdr:nvGraphicFramePr>
        <xdr:cNvPr id="4" name="Chart 3" title="U.M.F. Boron">
          <a:extLst>
            <a:ext uri="{FF2B5EF4-FFF2-40B4-BE49-F238E27FC236}">
              <a16:creationId xmlns:a16="http://schemas.microsoft.com/office/drawing/2014/main" id="{EA01F216-08BC-4498-8125-C4B4C2C04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680</xdr:colOff>
      <xdr:row>1</xdr:row>
      <xdr:rowOff>0</xdr:rowOff>
    </xdr:from>
    <xdr:to>
      <xdr:col>20</xdr:col>
      <xdr:colOff>388214</xdr:colOff>
      <xdr:row>17</xdr:row>
      <xdr:rowOff>102638</xdr:rowOff>
    </xdr:to>
    <xdr:graphicFrame macro="">
      <xdr:nvGraphicFramePr>
        <xdr:cNvPr id="5" name="Chart 4" title="STULL CONE 10">
          <a:extLst>
            <a:ext uri="{FF2B5EF4-FFF2-40B4-BE49-F238E27FC236}">
              <a16:creationId xmlns:a16="http://schemas.microsoft.com/office/drawing/2014/main" id="{73FC2F03-AB87-413E-8F3E-AE437B97445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0.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128649</xdr:colOff>
      <xdr:row>0</xdr:row>
      <xdr:rowOff>39544</xdr:rowOff>
    </xdr:from>
    <xdr:to>
      <xdr:col>15</xdr:col>
      <xdr:colOff>395349</xdr:colOff>
      <xdr:row>43</xdr:row>
      <xdr:rowOff>83669</xdr:rowOff>
    </xdr:to>
    <xdr:graphicFrame macro="">
      <xdr:nvGraphicFramePr>
        <xdr:cNvPr id="2" name="Chart 1" title="STULL CONE 10">
          <a:extLst>
            <a:ext uri="{FF2B5EF4-FFF2-40B4-BE49-F238E27FC236}">
              <a16:creationId xmlns:a16="http://schemas.microsoft.com/office/drawing/2014/main" id="{9BA22F5B-D2B7-4AE1-A705-F4291DF6824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118288</xdr:colOff>
      <xdr:row>15</xdr:row>
      <xdr:rowOff>96024</xdr:rowOff>
    </xdr:from>
    <xdr:to>
      <xdr:col>26</xdr:col>
      <xdr:colOff>506092</xdr:colOff>
      <xdr:row>43</xdr:row>
      <xdr:rowOff>143649</xdr:rowOff>
    </xdr:to>
    <xdr:graphicFrame macro="">
      <xdr:nvGraphicFramePr>
        <xdr:cNvPr id="3" name="Chart 2" title="U.M.F. Boron">
          <a:extLst>
            <a:ext uri="{FF2B5EF4-FFF2-40B4-BE49-F238E27FC236}">
              <a16:creationId xmlns:a16="http://schemas.microsoft.com/office/drawing/2014/main" id="{97AF2F4B-9407-4451-BC76-451BF9579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0</xdr:colOff>
      <xdr:row>17</xdr:row>
      <xdr:rowOff>105683</xdr:rowOff>
    </xdr:from>
    <xdr:to>
      <xdr:col>20</xdr:col>
      <xdr:colOff>387126</xdr:colOff>
      <xdr:row>33</xdr:row>
      <xdr:rowOff>113054</xdr:rowOff>
    </xdr:to>
    <xdr:graphicFrame macro="">
      <xdr:nvGraphicFramePr>
        <xdr:cNvPr id="5" name="Chart 4" title="U.M.F. Boron">
          <a:extLst>
            <a:ext uri="{FF2B5EF4-FFF2-40B4-BE49-F238E27FC236}">
              <a16:creationId xmlns:a16="http://schemas.microsoft.com/office/drawing/2014/main" id="{EAAB4D03-434A-49ED-82DA-BAFC0249C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681</xdr:colOff>
      <xdr:row>1</xdr:row>
      <xdr:rowOff>0</xdr:rowOff>
    </xdr:from>
    <xdr:to>
      <xdr:col>20</xdr:col>
      <xdr:colOff>388215</xdr:colOff>
      <xdr:row>17</xdr:row>
      <xdr:rowOff>102638</xdr:rowOff>
    </xdr:to>
    <xdr:graphicFrame macro="">
      <xdr:nvGraphicFramePr>
        <xdr:cNvPr id="6" name="Chart 5" title="STULL CONE 10">
          <a:extLst>
            <a:ext uri="{FF2B5EF4-FFF2-40B4-BE49-F238E27FC236}">
              <a16:creationId xmlns:a16="http://schemas.microsoft.com/office/drawing/2014/main" id="{19FF724E-9087-44A6-B44A-83D40675013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4761</xdr:colOff>
      <xdr:row>17</xdr:row>
      <xdr:rowOff>105684</xdr:rowOff>
    </xdr:from>
    <xdr:to>
      <xdr:col>20</xdr:col>
      <xdr:colOff>391887</xdr:colOff>
      <xdr:row>33</xdr:row>
      <xdr:rowOff>113055</xdr:rowOff>
    </xdr:to>
    <xdr:graphicFrame macro="">
      <xdr:nvGraphicFramePr>
        <xdr:cNvPr id="3" name="Chart 2" title="U.M.F. Boron">
          <a:extLst>
            <a:ext uri="{FF2B5EF4-FFF2-40B4-BE49-F238E27FC236}">
              <a16:creationId xmlns:a16="http://schemas.microsoft.com/office/drawing/2014/main" id="{144D6BAD-CE9D-4255-AB02-DFFF2E431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5442</xdr:colOff>
      <xdr:row>1</xdr:row>
      <xdr:rowOff>1</xdr:rowOff>
    </xdr:from>
    <xdr:to>
      <xdr:col>20</xdr:col>
      <xdr:colOff>392976</xdr:colOff>
      <xdr:row>17</xdr:row>
      <xdr:rowOff>102639</xdr:rowOff>
    </xdr:to>
    <xdr:graphicFrame macro="">
      <xdr:nvGraphicFramePr>
        <xdr:cNvPr id="4" name="Chart 3" title="STULL CONE 10">
          <a:extLst>
            <a:ext uri="{FF2B5EF4-FFF2-40B4-BE49-F238E27FC236}">
              <a16:creationId xmlns:a16="http://schemas.microsoft.com/office/drawing/2014/main" id="{315D72A2-7D53-4D04-ACDC-F95D2BA5B33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1997528</xdr:colOff>
      <xdr:row>17</xdr:row>
      <xdr:rowOff>105683</xdr:rowOff>
    </xdr:from>
    <xdr:to>
      <xdr:col>20</xdr:col>
      <xdr:colOff>387125</xdr:colOff>
      <xdr:row>33</xdr:row>
      <xdr:rowOff>113054</xdr:rowOff>
    </xdr:to>
    <xdr:graphicFrame macro="">
      <xdr:nvGraphicFramePr>
        <xdr:cNvPr id="4" name="Chart 3" title="U.M.F. Boron">
          <a:extLst>
            <a:ext uri="{FF2B5EF4-FFF2-40B4-BE49-F238E27FC236}">
              <a16:creationId xmlns:a16="http://schemas.microsoft.com/office/drawing/2014/main" id="{FD72C024-75FC-467E-93F1-53BA2F4EF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680</xdr:colOff>
      <xdr:row>1</xdr:row>
      <xdr:rowOff>0</xdr:rowOff>
    </xdr:from>
    <xdr:to>
      <xdr:col>20</xdr:col>
      <xdr:colOff>388214</xdr:colOff>
      <xdr:row>17</xdr:row>
      <xdr:rowOff>102638</xdr:rowOff>
    </xdr:to>
    <xdr:graphicFrame macro="">
      <xdr:nvGraphicFramePr>
        <xdr:cNvPr id="5" name="Chart 4" title="STULL CONE 10">
          <a:extLst>
            <a:ext uri="{FF2B5EF4-FFF2-40B4-BE49-F238E27FC236}">
              <a16:creationId xmlns:a16="http://schemas.microsoft.com/office/drawing/2014/main" id="{47979A45-5BB7-4554-9C5B-AC322FD53E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1992086</xdr:colOff>
      <xdr:row>17</xdr:row>
      <xdr:rowOff>105683</xdr:rowOff>
    </xdr:from>
    <xdr:to>
      <xdr:col>20</xdr:col>
      <xdr:colOff>381683</xdr:colOff>
      <xdr:row>33</xdr:row>
      <xdr:rowOff>113054</xdr:rowOff>
    </xdr:to>
    <xdr:graphicFrame macro="">
      <xdr:nvGraphicFramePr>
        <xdr:cNvPr id="4" name="Chart 3" title="U.M.F. Boron">
          <a:extLst>
            <a:ext uri="{FF2B5EF4-FFF2-40B4-BE49-F238E27FC236}">
              <a16:creationId xmlns:a16="http://schemas.microsoft.com/office/drawing/2014/main" id="{B450895B-223E-429D-991D-77F9C2E11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1992767</xdr:colOff>
      <xdr:row>1</xdr:row>
      <xdr:rowOff>0</xdr:rowOff>
    </xdr:from>
    <xdr:to>
      <xdr:col>20</xdr:col>
      <xdr:colOff>382772</xdr:colOff>
      <xdr:row>17</xdr:row>
      <xdr:rowOff>102638</xdr:rowOff>
    </xdr:to>
    <xdr:graphicFrame macro="">
      <xdr:nvGraphicFramePr>
        <xdr:cNvPr id="5" name="Chart 4" title="STULL CONE 10">
          <a:extLst>
            <a:ext uri="{FF2B5EF4-FFF2-40B4-BE49-F238E27FC236}">
              <a16:creationId xmlns:a16="http://schemas.microsoft.com/office/drawing/2014/main" id="{77875B6F-35A5-4839-A100-BCAD8EFB3DE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65"/>
  <sheetViews>
    <sheetView showGridLines="0" showZeros="0" tabSelected="1" zoomScaleNormal="100" workbookViewId="0">
      <selection activeCell="C23" sqref="C23"/>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9.1523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9.1523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9.1523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9.1523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9.1523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9.1523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9.1523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9.1523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9.1523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9.1523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9.1523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9.1523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9.1523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9.1523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9.1523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9.1523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9.1523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9.1523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9.1523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9.1523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9.1523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9.1523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9.1523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9.1523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9.1523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9.1523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9.1523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9.1523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9.1523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9.1523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9.1523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9.1523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9.1523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9.1523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9.1523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9.1523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9.1523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9.1523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9.1523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9.1523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9.1523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9.1523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9.1523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9.1523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9.1523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9.1523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9.1523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9.1523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9.1523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9.1523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9.1523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9.1523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9.1523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9.1523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9.1523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9.1523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9.1523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9.1523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9.1523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9.1523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9.1523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9.1523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9.1523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9.15234375" style="35"/>
    <col min="16361" max="16384" width="9.15234375" style="35" customWidth="1"/>
  </cols>
  <sheetData>
    <row r="1" spans="1:33" ht="15.45" customHeight="1" thickBot="1" x14ac:dyDescent="0.55000000000000004">
      <c r="A1" s="33"/>
      <c r="H1" s="33"/>
    </row>
    <row r="2" spans="1:33" ht="33" customHeight="1" thickBot="1" x14ac:dyDescent="0.45">
      <c r="A2" s="33"/>
      <c r="B2" s="36" t="str">
        <f>Date!B2</f>
        <v>010119</v>
      </c>
      <c r="C2" s="238">
        <v>-1</v>
      </c>
      <c r="D2" s="238"/>
      <c r="E2" s="239"/>
      <c r="F2" s="240" t="s">
        <v>138</v>
      </c>
      <c r="G2" s="241"/>
      <c r="H2" s="37"/>
      <c r="AB2" s="38"/>
      <c r="AC2" s="231"/>
      <c r="AD2" s="21"/>
    </row>
    <row r="3" spans="1:33" ht="41.25" customHeight="1" thickBot="1" x14ac:dyDescent="0.8">
      <c r="A3" s="33"/>
      <c r="B3" s="242" t="s">
        <v>165</v>
      </c>
      <c r="C3" s="243"/>
      <c r="D3" s="243"/>
      <c r="E3" s="244"/>
      <c r="F3" s="39" t="s">
        <v>101</v>
      </c>
      <c r="G3" s="40">
        <v>10</v>
      </c>
      <c r="H3" s="37"/>
      <c r="AB3" s="38"/>
      <c r="AC3" s="231"/>
      <c r="AD3" s="21"/>
    </row>
    <row r="4" spans="1:33" ht="32.5" customHeight="1" x14ac:dyDescent="0.7">
      <c r="A4" s="33"/>
      <c r="B4" s="245" t="s">
        <v>114</v>
      </c>
      <c r="C4" s="246"/>
      <c r="D4" s="247" t="s">
        <v>12</v>
      </c>
      <c r="E4" s="248"/>
      <c r="F4" s="249" t="s">
        <v>184</v>
      </c>
      <c r="G4" s="250"/>
      <c r="H4" s="41"/>
      <c r="W4" s="235"/>
      <c r="X4" s="235"/>
      <c r="Y4" s="235"/>
      <c r="Z4" s="223"/>
      <c r="AA4" s="236"/>
      <c r="AB4" s="236"/>
      <c r="AC4" s="237"/>
    </row>
    <row r="5" spans="1:33" ht="18" customHeight="1" thickBot="1" x14ac:dyDescent="0.55000000000000004">
      <c r="A5" s="33"/>
      <c r="B5" s="145">
        <f>SUM(B7/C7)</f>
        <v>7.2669590055430744</v>
      </c>
      <c r="C5" s="146" t="s">
        <v>13</v>
      </c>
      <c r="D5" s="253">
        <f>SUM(D7+E7+D9+E9+D11+E11)</f>
        <v>0.29554776132288957</v>
      </c>
      <c r="E5" s="254"/>
      <c r="F5" s="255">
        <f>SUM(F7+G7+F9+G9+G13+F11+G11+F13+AG13)</f>
        <v>0.7044522386771106</v>
      </c>
      <c r="G5" s="256"/>
      <c r="H5" s="41"/>
      <c r="W5" s="235"/>
      <c r="X5" s="235"/>
      <c r="Y5" s="235"/>
      <c r="Z5" s="223"/>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3.4097786153597855</v>
      </c>
      <c r="C7" s="103">
        <f>SUM(C9+B11+C11)</f>
        <v>0.46921671262475573</v>
      </c>
      <c r="D7" s="224">
        <f>H59</f>
        <v>0.22950916411903968</v>
      </c>
      <c r="E7" s="87">
        <f>I59</f>
        <v>6.6038597203849872E-2</v>
      </c>
      <c r="F7" s="226">
        <f>L59</f>
        <v>2.657817353767777E-3</v>
      </c>
      <c r="G7" s="91">
        <f>M59</f>
        <v>0.69995496175397232</v>
      </c>
      <c r="H7" s="41"/>
      <c r="W7" s="232"/>
      <c r="X7" s="232"/>
      <c r="Y7" s="233"/>
      <c r="Z7" s="233"/>
      <c r="AA7" s="232"/>
      <c r="AB7" s="232"/>
      <c r="AC7" s="234"/>
      <c r="AD7" s="234"/>
    </row>
    <row r="8" spans="1:33" ht="24" customHeight="1"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0.42410475915289469</v>
      </c>
      <c r="D9" s="87">
        <f>G59</f>
        <v>0</v>
      </c>
      <c r="E9" s="225">
        <f>J59</f>
        <v>0</v>
      </c>
      <c r="F9" s="226">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4.5111953471861053E-2</v>
      </c>
      <c r="C11" s="71">
        <f>F59</f>
        <v>0</v>
      </c>
      <c r="D11" s="87">
        <f>K59</f>
        <v>0</v>
      </c>
      <c r="E11" s="204">
        <f>U59</f>
        <v>0</v>
      </c>
      <c r="F11" s="91">
        <f>P59</f>
        <v>0</v>
      </c>
      <c r="G11" s="91">
        <f>Q59</f>
        <v>1.8394595693704376E-3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 customHeight="1" x14ac:dyDescent="0.3">
      <c r="A15" s="33"/>
      <c r="B15" s="141" t="s">
        <v>32</v>
      </c>
      <c r="C15" s="257" t="s">
        <v>31</v>
      </c>
      <c r="D15" s="227"/>
      <c r="E15" s="260" t="s">
        <v>132</v>
      </c>
      <c r="F15" s="136"/>
      <c r="G15" s="263" t="s">
        <v>14</v>
      </c>
      <c r="H15" s="33"/>
      <c r="AB15" s="44"/>
    </row>
    <row r="16" spans="1:33" ht="20.05" customHeight="1" x14ac:dyDescent="0.3">
      <c r="A16" s="33"/>
      <c r="B16" s="251" t="s">
        <v>33</v>
      </c>
      <c r="C16" s="258"/>
      <c r="D16" s="228" t="s">
        <v>44</v>
      </c>
      <c r="E16" s="261"/>
      <c r="F16" s="228" t="s">
        <v>44</v>
      </c>
      <c r="G16" s="264"/>
      <c r="H16" s="33"/>
      <c r="AE16" s="48"/>
    </row>
    <row r="17" spans="1:31" ht="20.6" thickBot="1" x14ac:dyDescent="0.55000000000000004">
      <c r="A17" s="33"/>
      <c r="B17" s="252"/>
      <c r="C17" s="259"/>
      <c r="D17" s="229"/>
      <c r="E17" s="262"/>
      <c r="F17" s="137"/>
      <c r="G17" s="144">
        <v>100</v>
      </c>
      <c r="H17" s="33"/>
      <c r="I17" s="49"/>
      <c r="AD17" s="35"/>
      <c r="AE17" s="52"/>
    </row>
    <row r="18" spans="1:31" x14ac:dyDescent="0.5">
      <c r="A18" s="33"/>
      <c r="B18" s="95" t="s">
        <v>15</v>
      </c>
      <c r="C18" s="96">
        <v>40</v>
      </c>
      <c r="D18" s="98" t="str">
        <f>B18</f>
        <v>Neph Sy</v>
      </c>
      <c r="E18" s="99">
        <f t="shared" ref="E18:E29" si="0">C18/$Y$56*100</f>
        <v>39.603960396039604</v>
      </c>
      <c r="F18" s="98" t="str">
        <f>B18</f>
        <v>Neph Sy</v>
      </c>
      <c r="G18" s="99">
        <f t="shared" ref="G18:G29" si="1">E18*$G$17/100</f>
        <v>39.603960396039604</v>
      </c>
      <c r="H18" s="33"/>
      <c r="AD18" s="35"/>
      <c r="AE18" s="52"/>
    </row>
    <row r="19" spans="1:31" x14ac:dyDescent="0.5">
      <c r="A19" s="33"/>
      <c r="B19" s="95" t="s">
        <v>51</v>
      </c>
      <c r="C19" s="96">
        <v>20</v>
      </c>
      <c r="D19" s="100" t="str">
        <f t="shared" ref="D19:D29" si="2">B19</f>
        <v>Whiting</v>
      </c>
      <c r="E19" s="101">
        <f t="shared" si="0"/>
        <v>19.801980198019802</v>
      </c>
      <c r="F19" s="100" t="str">
        <f>B19</f>
        <v>Whiting</v>
      </c>
      <c r="G19" s="101">
        <f t="shared" si="1"/>
        <v>19.801980198019802</v>
      </c>
      <c r="H19" s="33"/>
      <c r="AE19" s="52"/>
    </row>
    <row r="20" spans="1:31" ht="18.75" customHeight="1" x14ac:dyDescent="0.5">
      <c r="A20" s="33"/>
      <c r="B20" s="95" t="s">
        <v>26</v>
      </c>
      <c r="C20" s="96">
        <v>30</v>
      </c>
      <c r="D20" s="100" t="str">
        <f t="shared" si="2"/>
        <v xml:space="preserve">Flint </v>
      </c>
      <c r="E20" s="101">
        <f t="shared" si="0"/>
        <v>29.702970297029701</v>
      </c>
      <c r="F20" s="100" t="str">
        <f t="shared" ref="F20:F29" si="3">B20</f>
        <v xml:space="preserve">Flint </v>
      </c>
      <c r="G20" s="101">
        <f t="shared" si="1"/>
        <v>29.702970297029701</v>
      </c>
      <c r="H20" s="33"/>
      <c r="AE20" s="52"/>
    </row>
    <row r="21" spans="1:31" x14ac:dyDescent="0.5">
      <c r="A21" s="33"/>
      <c r="B21" s="95" t="s">
        <v>22</v>
      </c>
      <c r="C21" s="96">
        <v>10</v>
      </c>
      <c r="D21" s="100" t="str">
        <f>B21</f>
        <v>EPK</v>
      </c>
      <c r="E21" s="101">
        <f t="shared" si="0"/>
        <v>9.9009900990099009</v>
      </c>
      <c r="F21" s="100" t="str">
        <f t="shared" si="3"/>
        <v>EPK</v>
      </c>
      <c r="G21" s="101">
        <f t="shared" si="1"/>
        <v>9.9009900990099009</v>
      </c>
      <c r="H21" s="33"/>
      <c r="AE21" s="52"/>
    </row>
    <row r="22" spans="1:31" ht="20.25" customHeight="1" x14ac:dyDescent="0.5">
      <c r="A22" s="33"/>
      <c r="B22" s="95" t="s">
        <v>87</v>
      </c>
      <c r="C22" s="96">
        <v>1</v>
      </c>
      <c r="D22" s="100" t="str">
        <f t="shared" si="2"/>
        <v>Titanium Dioxide</v>
      </c>
      <c r="E22" s="101">
        <f t="shared" si="0"/>
        <v>0.99009900990099009</v>
      </c>
      <c r="F22" s="100" t="str">
        <f t="shared" si="3"/>
        <v>Titanium Dioxide</v>
      </c>
      <c r="G22" s="101">
        <f t="shared" si="1"/>
        <v>0.99009900990099009</v>
      </c>
      <c r="H22" s="33"/>
      <c r="AC22" s="35"/>
      <c r="AE22" s="52"/>
    </row>
    <row r="23" spans="1:31" x14ac:dyDescent="0.5">
      <c r="A23" s="33"/>
      <c r="B23" s="95"/>
      <c r="C23" s="96"/>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7">
        <v>0</v>
      </c>
      <c r="D29" s="100">
        <f t="shared" si="2"/>
        <v>0</v>
      </c>
      <c r="E29" s="101">
        <f t="shared" si="0"/>
        <v>0</v>
      </c>
      <c r="F29" s="100">
        <f t="shared" si="3"/>
        <v>0</v>
      </c>
      <c r="G29" s="101">
        <f t="shared" si="1"/>
        <v>0</v>
      </c>
      <c r="H29" s="33"/>
      <c r="I29" s="18"/>
      <c r="AC29" s="35"/>
      <c r="AE29" s="52"/>
    </row>
    <row r="30" spans="1:31" x14ac:dyDescent="0.5">
      <c r="A30" s="33"/>
      <c r="B30" s="95">
        <v>0</v>
      </c>
      <c r="C30" s="96">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24.534653465346537</v>
      </c>
      <c r="C38" s="29">
        <f>IF(ISNA(VLOOKUP($B18,'Chemical Analysis'!$B$4:$Y$119,3,0)),"",(VLOOKUP($B18,'Chemical Analysis'!$B$4:$Y$119,3,0))*$E18/100)</f>
        <v>0</v>
      </c>
      <c r="D38" s="29">
        <f>IF(ISNA(VLOOKUP($B18,'Chemical Analysis'!$B$4:$Y$119,4,0)),"",(VLOOKUP($B18,'Chemical Analysis'!$B$4:$Y$119,4,0))*$E18/100)</f>
        <v>8.7524752475247531</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4.0752475247524753</v>
      </c>
      <c r="I38" s="29">
        <f>IF(ISNA(VLOOKUP($B18,'Chemical Analysis'!$B$4:$Y$119,9,0)),"",(VLOOKUP($B18,'Chemical Analysis'!$B$4:$Y$119,9,0))*$E18/100)</f>
        <v>1.7425742574257428</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1.1881188118811881E-2</v>
      </c>
      <c r="M38" s="29">
        <f>IF(ISNA(VLOOKUP($B18,'Chemical Analysis'!$B$4:$Y$119,13,0)),"",(VLOOKUP($B18,'Chemical Analysis'!$B$4:$Y$119,13,0))*$E18/100)</f>
        <v>0.14257425742574259</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1.5841584158415842E-2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1.9801980198019802E-3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11.095049504950495</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29.26930693069307</v>
      </c>
      <c r="C40" s="29">
        <f>IF(ISNA(VLOOKUP($B20,'Chemical Analysis'!$B$4:$Y$119,3,0)),"",(VLOOKUP($B20,'Chemical Analysis'!$B$4:$Y$119,3,0))*$E20/100)</f>
        <v>0</v>
      </c>
      <c r="D40" s="29">
        <f>IF(ISNA(VLOOKUP($B20,'Chemical Analysis'!$B$4:$Y$119,4,0)),"",(VLOOKUP($B20,'Chemical Analysis'!$B$4:$Y$119,4,0))*$E20/100)</f>
        <v>0.12475247524752474</v>
      </c>
      <c r="E40" s="29">
        <f>IF(ISNA(VLOOKUP($B20,'Chemical Analysis'!$B$4:$Y$119,5,0)),"",(VLOOKUP($B20,'Chemical Analysis'!$B$4:$Y$119,5,0))*$E20/100)</f>
        <v>1.782178217821782E-2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2.9702970297029703E-3</v>
      </c>
      <c r="M40" s="29">
        <f>IF(ISNA(VLOOKUP($B20,'Chemical Analysis'!$B$4:$Y$119,13,0)),"",(VLOOKUP($B20,'Chemical Analysis'!$B$4:$Y$119,13,0))*$E20/100)</f>
        <v>2.9702970297029703E-3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1.782178217821782E-2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4.895049504950495</v>
      </c>
      <c r="C41" s="29">
        <f>IF(ISNA(VLOOKUP($B21,'Chemical Analysis'!$B$4:$Y$119,3,0)),"",(VLOOKUP($B21,'Chemical Analysis'!$B$4:$Y$119,3,0))*$E21/100)</f>
        <v>0</v>
      </c>
      <c r="D41" s="29">
        <f>IF(ISNA(VLOOKUP($B21,'Chemical Analysis'!$B$4:$Y$119,4,0)),"",(VLOOKUP($B21,'Chemical Analysis'!$B$4:$Y$119,4,0))*$E21/100)</f>
        <v>3.5108910891089109</v>
      </c>
      <c r="E41" s="29">
        <f>IF(ISNA(VLOOKUP($B21,'Chemical Analysis'!$B$4:$Y$119,5,0)),"",(VLOOKUP($B21,'Chemical Analysis'!$B$4:$Y$119,5,0))*$E21/100)</f>
        <v>3.5643564356435647E-2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3.9603960396039604E-2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1.5841584158415842E-2</v>
      </c>
      <c r="M41" s="29">
        <f>IF(ISNA(VLOOKUP($B21,'Chemical Analysis'!$B$4:$Y$119,13,0)),"",(VLOOKUP($B21,'Chemical Analysis'!$B$4:$Y$119,13,0))*$E21/100)</f>
        <v>4.9504950495049506E-3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5.0495049504950498E-2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0.99009900990099009</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58.699009900990099</v>
      </c>
      <c r="C54" s="55">
        <f t="shared" ref="C54:W54" si="8">SUM(C38:C53)</f>
        <v>0</v>
      </c>
      <c r="D54" s="55">
        <f t="shared" si="8"/>
        <v>12.388118811881188</v>
      </c>
      <c r="E54" s="55">
        <f t="shared" si="8"/>
        <v>1.0455445544554456</v>
      </c>
      <c r="F54" s="55">
        <f t="shared" si="8"/>
        <v>0</v>
      </c>
      <c r="G54" s="55">
        <f t="shared" si="8"/>
        <v>0</v>
      </c>
      <c r="H54" s="55">
        <f t="shared" si="8"/>
        <v>4.0752475247524753</v>
      </c>
      <c r="I54" s="55">
        <f t="shared" si="8"/>
        <v>1.7821782178217824</v>
      </c>
      <c r="J54" s="55">
        <f t="shared" si="8"/>
        <v>0</v>
      </c>
      <c r="K54" s="55">
        <f t="shared" si="8"/>
        <v>0</v>
      </c>
      <c r="L54" s="55">
        <f t="shared" si="8"/>
        <v>3.0693069306930693E-2</v>
      </c>
      <c r="M54" s="55">
        <f t="shared" si="8"/>
        <v>11.245544554455446</v>
      </c>
      <c r="N54" s="55">
        <f t="shared" si="8"/>
        <v>0</v>
      </c>
      <c r="O54" s="55">
        <f t="shared" si="8"/>
        <v>0</v>
      </c>
      <c r="P54" s="55">
        <f t="shared" si="8"/>
        <v>0</v>
      </c>
      <c r="Q54" s="55">
        <f t="shared" si="8"/>
        <v>8.4158415841584164E-2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101</v>
      </c>
      <c r="Z56" s="35"/>
      <c r="AE56"/>
      <c r="AF56"/>
      <c r="AG56"/>
      <c r="AH56"/>
    </row>
    <row r="57" spans="2:34" ht="12.9" thickBot="1" x14ac:dyDescent="0.35">
      <c r="B57" s="192">
        <f t="shared" ref="B57:X57" si="9">B$54/B$56</f>
        <v>0.97685155435164084</v>
      </c>
      <c r="C57" s="193">
        <f t="shared" si="9"/>
        <v>0</v>
      </c>
      <c r="D57" s="193">
        <f t="shared" si="9"/>
        <v>0.1214997921918516</v>
      </c>
      <c r="E57" s="193">
        <f t="shared" si="9"/>
        <v>1.2923912910450501E-2</v>
      </c>
      <c r="F57" s="193">
        <f t="shared" si="9"/>
        <v>0</v>
      </c>
      <c r="G57" s="193">
        <f t="shared" si="9"/>
        <v>0</v>
      </c>
      <c r="H57" s="193">
        <f t="shared" si="9"/>
        <v>6.5751008789165469E-2</v>
      </c>
      <c r="I57" s="193">
        <f t="shared" si="9"/>
        <v>1.8919089361165417E-2</v>
      </c>
      <c r="J57" s="193">
        <f t="shared" si="9"/>
        <v>0</v>
      </c>
      <c r="K57" s="193">
        <f t="shared" si="9"/>
        <v>0</v>
      </c>
      <c r="L57" s="193">
        <f t="shared" si="9"/>
        <v>7.6142568362517224E-4</v>
      </c>
      <c r="M57" s="193">
        <f t="shared" si="9"/>
        <v>0.20052682871710853</v>
      </c>
      <c r="N57" s="193">
        <f t="shared" si="9"/>
        <v>0</v>
      </c>
      <c r="O57" s="193">
        <f t="shared" si="9"/>
        <v>0</v>
      </c>
      <c r="P57" s="193">
        <f t="shared" si="9"/>
        <v>0</v>
      </c>
      <c r="Q57" s="193">
        <f t="shared" si="9"/>
        <v>5.2697818310321965E-4</v>
      </c>
      <c r="R57" s="193">
        <f t="shared" si="9"/>
        <v>0</v>
      </c>
      <c r="S57" s="193">
        <f t="shared" si="9"/>
        <v>0</v>
      </c>
      <c r="T57" s="193">
        <f t="shared" si="9"/>
        <v>0</v>
      </c>
      <c r="U57" s="193">
        <f t="shared" si="9"/>
        <v>0</v>
      </c>
      <c r="V57" s="193">
        <f t="shared" si="9"/>
        <v>0</v>
      </c>
      <c r="W57" s="193">
        <f t="shared" si="9"/>
        <v>0</v>
      </c>
      <c r="X57" s="194">
        <f t="shared" si="9"/>
        <v>0</v>
      </c>
      <c r="Y57" s="104">
        <f>SUM(B57:X57)</f>
        <v>1.3977605901881109</v>
      </c>
      <c r="Z57" s="35"/>
      <c r="AE57"/>
      <c r="AF57"/>
      <c r="AG57"/>
      <c r="AH57"/>
    </row>
    <row r="58" spans="2:34" ht="12.9" thickBot="1" x14ac:dyDescent="0.35">
      <c r="B58" s="187">
        <f t="shared" ref="B58:X58" si="10">B57/$Y$57*100</f>
        <v>69.886900604357137</v>
      </c>
      <c r="C58" s="30">
        <f t="shared" si="10"/>
        <v>0</v>
      </c>
      <c r="D58" s="30">
        <f t="shared" si="10"/>
        <v>8.6924608580858713</v>
      </c>
      <c r="E58" s="30">
        <f t="shared" si="10"/>
        <v>0.92461563168776983</v>
      </c>
      <c r="F58" s="30">
        <f t="shared" si="10"/>
        <v>0</v>
      </c>
      <c r="G58" s="30">
        <f t="shared" si="10"/>
        <v>0</v>
      </c>
      <c r="H58" s="30">
        <f t="shared" si="10"/>
        <v>4.7040250848907315</v>
      </c>
      <c r="I58" s="30">
        <f t="shared" si="10"/>
        <v>1.3535286009615768</v>
      </c>
      <c r="J58" s="30">
        <f t="shared" si="10"/>
        <v>0</v>
      </c>
      <c r="K58" s="30">
        <f t="shared" si="10"/>
        <v>0</v>
      </c>
      <c r="L58" s="30">
        <f t="shared" si="10"/>
        <v>5.447468536244103E-2</v>
      </c>
      <c r="M58" s="30">
        <f t="shared" si="10"/>
        <v>14.34629292918622</v>
      </c>
      <c r="N58" s="30">
        <f t="shared" si="10"/>
        <v>0</v>
      </c>
      <c r="O58" s="30">
        <f t="shared" si="10"/>
        <v>0</v>
      </c>
      <c r="P58" s="30">
        <f t="shared" si="10"/>
        <v>0</v>
      </c>
      <c r="Q58" s="30">
        <f t="shared" si="10"/>
        <v>3.7701605468236789E-2</v>
      </c>
      <c r="R58" s="30">
        <f t="shared" si="10"/>
        <v>0</v>
      </c>
      <c r="S58" s="30">
        <f t="shared" si="10"/>
        <v>0</v>
      </c>
      <c r="T58" s="30">
        <f t="shared" si="10"/>
        <v>0</v>
      </c>
      <c r="U58" s="30">
        <f t="shared" si="10"/>
        <v>0</v>
      </c>
      <c r="V58" s="30">
        <f t="shared" si="10"/>
        <v>0</v>
      </c>
      <c r="W58" s="30">
        <f t="shared" si="10"/>
        <v>0</v>
      </c>
      <c r="X58" s="188">
        <f t="shared" si="10"/>
        <v>0</v>
      </c>
      <c r="Y58" s="104">
        <f>SUM(G58:U58)</f>
        <v>20.496022905869204</v>
      </c>
      <c r="Z58" s="35"/>
      <c r="AE58"/>
      <c r="AF58"/>
      <c r="AG58"/>
      <c r="AH58"/>
    </row>
    <row r="59" spans="2:34" ht="12.9" thickBot="1" x14ac:dyDescent="0.35">
      <c r="B59" s="189">
        <f t="shared" ref="B59:X59" si="11">B58/$Y$58</f>
        <v>3.4097786153597855</v>
      </c>
      <c r="C59" s="190">
        <f t="shared" si="11"/>
        <v>0</v>
      </c>
      <c r="D59" s="190">
        <f t="shared" si="11"/>
        <v>0.42410475915289469</v>
      </c>
      <c r="E59" s="190">
        <f t="shared" si="11"/>
        <v>4.5111953471861053E-2</v>
      </c>
      <c r="F59" s="190">
        <f t="shared" si="11"/>
        <v>0</v>
      </c>
      <c r="G59" s="190">
        <f t="shared" si="11"/>
        <v>0</v>
      </c>
      <c r="H59" s="190">
        <f t="shared" si="11"/>
        <v>0.22950916411903968</v>
      </c>
      <c r="I59" s="190">
        <f t="shared" si="11"/>
        <v>6.6038597203849872E-2</v>
      </c>
      <c r="J59" s="190">
        <f t="shared" si="11"/>
        <v>0</v>
      </c>
      <c r="K59" s="190">
        <f t="shared" si="11"/>
        <v>0</v>
      </c>
      <c r="L59" s="190">
        <f t="shared" si="11"/>
        <v>2.657817353767777E-3</v>
      </c>
      <c r="M59" s="190">
        <f t="shared" si="11"/>
        <v>0.69995496175397232</v>
      </c>
      <c r="N59" s="190">
        <f t="shared" si="11"/>
        <v>0</v>
      </c>
      <c r="O59" s="190">
        <f t="shared" si="11"/>
        <v>0</v>
      </c>
      <c r="P59" s="190">
        <f t="shared" si="11"/>
        <v>0</v>
      </c>
      <c r="Q59" s="190">
        <f t="shared" si="11"/>
        <v>1.8394595693704376E-3</v>
      </c>
      <c r="R59" s="190">
        <f t="shared" si="11"/>
        <v>0</v>
      </c>
      <c r="S59" s="190">
        <f t="shared" si="11"/>
        <v>0</v>
      </c>
      <c r="T59" s="190">
        <f t="shared" si="11"/>
        <v>0</v>
      </c>
      <c r="U59" s="190">
        <f t="shared" si="11"/>
        <v>0</v>
      </c>
      <c r="V59" s="190">
        <f t="shared" si="11"/>
        <v>0</v>
      </c>
      <c r="W59" s="190">
        <f t="shared" si="11"/>
        <v>0</v>
      </c>
      <c r="X59" s="191">
        <f t="shared" si="11"/>
        <v>0</v>
      </c>
      <c r="Y59" s="230">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31"/>
      <c r="O60" s="231"/>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D5:E5"/>
    <mergeCell ref="F5:G5"/>
    <mergeCell ref="C15:C17"/>
    <mergeCell ref="E15:E17"/>
    <mergeCell ref="G15:G16"/>
    <mergeCell ref="C2:E2"/>
    <mergeCell ref="F2:G2"/>
    <mergeCell ref="B3:E3"/>
    <mergeCell ref="B4:C4"/>
    <mergeCell ref="D4:E4"/>
    <mergeCell ref="F4:G4"/>
    <mergeCell ref="W6:X8"/>
    <mergeCell ref="Y6:Z8"/>
    <mergeCell ref="AA6:AB8"/>
    <mergeCell ref="AC6:AD8"/>
    <mergeCell ref="W4:X5"/>
    <mergeCell ref="Y4:Y5"/>
    <mergeCell ref="AA4:AB5"/>
    <mergeCell ref="AC4:AC5"/>
  </mergeCells>
  <dataValidations count="4">
    <dataValidation type="list" allowBlank="1" showInputMessage="1" showErrorMessage="1" sqref="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5FB5A48-0C9C-4D48-998E-86B581A301EB}">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xr:uid="{6DD9A57A-DF4A-4AD8-A240-BFBAD4B6E7F8}">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798C923-2C34-4F15-8A8B-BEAE3581052F}">
      <formula1>#REF!</formula1>
    </dataValidation>
    <dataValidation type="list" showInputMessage="1" showErrorMessage="1" sqref="B18:B33" xr:uid="{51107317-702A-4F1E-93B9-932D8B7FC2B0}">
      <formula1>Chem</formula1>
    </dataValidation>
  </dataValidations>
  <pageMargins left="0.7" right="0.7" top="0.75" bottom="0.75" header="0.3" footer="0.3"/>
  <pageSetup paperSize="9" orientation="portrait" r:id="rId1"/>
  <ignoredErrors>
    <ignoredError sqref="V39:V48" formula="1"/>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8AE3F50-1CAC-4948-AFEC-A53DF61FFB45}">
          <x14:formula1>
            <xm:f>'Chemical Analysis'!$AA$4:$AA$27</xm:f>
          </x14:formula1>
          <xm:sqref>G3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65"/>
  <sheetViews>
    <sheetView showGridLines="0" showZeros="0" zoomScaleNormal="100" workbookViewId="0">
      <selection activeCell="W14" sqref="W14"/>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B1" s="33"/>
      <c r="C1" s="34"/>
      <c r="D1" s="34"/>
      <c r="E1" s="34"/>
      <c r="F1" s="34"/>
      <c r="G1" s="33"/>
      <c r="H1" s="33"/>
    </row>
    <row r="2" spans="1:33" ht="33" customHeight="1" thickBot="1" x14ac:dyDescent="0.45">
      <c r="A2" s="33"/>
      <c r="B2" s="36" t="str">
        <f>Date!B2</f>
        <v>010119</v>
      </c>
      <c r="C2" s="238">
        <v>-10</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3.9941480878768649</v>
      </c>
      <c r="C5" s="146" t="s">
        <v>13</v>
      </c>
      <c r="D5" s="253">
        <f>SUM(D7+E7+D9+E9+D11+E11)</f>
        <v>0.29554776132288951</v>
      </c>
      <c r="E5" s="254"/>
      <c r="F5" s="255">
        <f>SUM(F7+G7+F9+G9+G13+F11+G11+F13+AG13)</f>
        <v>0.70445223867711071</v>
      </c>
      <c r="G5" s="265"/>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3.409778615359786</v>
      </c>
      <c r="C7" s="103">
        <f>SUM(C9+B11+C11)</f>
        <v>0.8536935888053897</v>
      </c>
      <c r="D7" s="215">
        <f>H59</f>
        <v>0.22950916411903965</v>
      </c>
      <c r="E7" s="87">
        <f>I59</f>
        <v>6.6038597203849872E-2</v>
      </c>
      <c r="F7" s="89">
        <f>L59</f>
        <v>2.6578173537677775E-3</v>
      </c>
      <c r="G7" s="91">
        <f>M59</f>
        <v>0.69995496175397243</v>
      </c>
      <c r="H7" s="41"/>
      <c r="W7" s="232"/>
      <c r="X7" s="232"/>
      <c r="Y7" s="233"/>
      <c r="Z7" s="233"/>
      <c r="AA7" s="232"/>
      <c r="AB7" s="232"/>
      <c r="AC7" s="234"/>
      <c r="AD7" s="234"/>
    </row>
    <row r="8" spans="1:33" ht="23.6" x14ac:dyDescent="0.4">
      <c r="A8" s="33"/>
      <c r="B8" s="120" t="s">
        <v>36</v>
      </c>
      <c r="C8" s="68" t="s">
        <v>78</v>
      </c>
      <c r="D8" s="85" t="s">
        <v>37</v>
      </c>
      <c r="E8" s="86" t="s">
        <v>140</v>
      </c>
      <c r="F8" s="94" t="s">
        <v>8</v>
      </c>
      <c r="G8" s="185" t="s">
        <v>9</v>
      </c>
      <c r="H8" s="42"/>
      <c r="W8" s="232"/>
      <c r="X8" s="232"/>
      <c r="Y8" s="233"/>
      <c r="Z8" s="233"/>
      <c r="AA8" s="232"/>
      <c r="AB8" s="232"/>
      <c r="AC8" s="234"/>
      <c r="AD8" s="234"/>
    </row>
    <row r="9" spans="1:33" ht="18.75" customHeight="1" thickBot="1" x14ac:dyDescent="0.55000000000000004">
      <c r="A9" s="33"/>
      <c r="B9" s="121">
        <f>C59</f>
        <v>0</v>
      </c>
      <c r="C9" s="70">
        <f>D59</f>
        <v>0.42410475915289469</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0.42958882965249501</v>
      </c>
      <c r="C11" s="71">
        <f>F59</f>
        <v>0</v>
      </c>
      <c r="D11" s="87">
        <f>K59</f>
        <v>0</v>
      </c>
      <c r="E11" s="204">
        <f>U59</f>
        <v>0</v>
      </c>
      <c r="F11" s="91">
        <f>P59</f>
        <v>0</v>
      </c>
      <c r="G11" s="91">
        <f>Q59</f>
        <v>1.8394595693704372E-3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36.363636363636367</v>
      </c>
      <c r="D18" s="98" t="str">
        <f>B18</f>
        <v>Neph Sy</v>
      </c>
      <c r="E18" s="99">
        <f t="shared" ref="E18:E29" si="0">C18/$Y$56*100</f>
        <v>36.363636363636367</v>
      </c>
      <c r="F18" s="98" t="str">
        <f>B18</f>
        <v>Neph Sy</v>
      </c>
      <c r="G18" s="99">
        <f t="shared" ref="G18:G29" si="1">E18*$G$17/100</f>
        <v>36.363636363636367</v>
      </c>
      <c r="H18" s="33"/>
      <c r="AD18" s="35"/>
      <c r="AE18" s="52"/>
    </row>
    <row r="19" spans="1:31" x14ac:dyDescent="0.5">
      <c r="A19" s="33"/>
      <c r="B19" s="95" t="s">
        <v>51</v>
      </c>
      <c r="C19" s="96">
        <v>18.181818181818183</v>
      </c>
      <c r="D19" s="100" t="str">
        <f t="shared" ref="D19:D29" si="2">B19</f>
        <v>Whiting</v>
      </c>
      <c r="E19" s="101">
        <f t="shared" si="0"/>
        <v>18.181818181818183</v>
      </c>
      <c r="F19" s="100" t="str">
        <f>B19</f>
        <v>Whiting</v>
      </c>
      <c r="G19" s="101">
        <f t="shared" si="1"/>
        <v>18.181818181818183</v>
      </c>
      <c r="H19" s="33"/>
      <c r="AE19" s="52"/>
    </row>
    <row r="20" spans="1:31" ht="18.75" customHeight="1" x14ac:dyDescent="0.5">
      <c r="A20" s="33"/>
      <c r="B20" s="95" t="s">
        <v>26</v>
      </c>
      <c r="C20" s="96">
        <v>27.27272727272727</v>
      </c>
      <c r="D20" s="100" t="str">
        <f t="shared" si="2"/>
        <v xml:space="preserve">Flint </v>
      </c>
      <c r="E20" s="101">
        <f t="shared" si="0"/>
        <v>27.27272727272727</v>
      </c>
      <c r="F20" s="100" t="str">
        <f t="shared" ref="F20:F29" si="3">B20</f>
        <v xml:space="preserve">Flint </v>
      </c>
      <c r="G20" s="101">
        <f t="shared" si="1"/>
        <v>27.27272727272727</v>
      </c>
      <c r="H20" s="33"/>
      <c r="AE20" s="52"/>
    </row>
    <row r="21" spans="1:31" x14ac:dyDescent="0.5">
      <c r="A21" s="33"/>
      <c r="B21" s="95" t="s">
        <v>22</v>
      </c>
      <c r="C21" s="96">
        <v>9.0909090909090917</v>
      </c>
      <c r="D21" s="100" t="str">
        <f>B21</f>
        <v>EPK</v>
      </c>
      <c r="E21" s="101">
        <f t="shared" si="0"/>
        <v>9.0909090909090917</v>
      </c>
      <c r="F21" s="100" t="str">
        <f t="shared" si="3"/>
        <v>EPK</v>
      </c>
      <c r="G21" s="101">
        <f t="shared" si="1"/>
        <v>9.0909090909090917</v>
      </c>
      <c r="H21" s="33"/>
      <c r="AE21" s="52"/>
    </row>
    <row r="22" spans="1:31" ht="20.25" customHeight="1" x14ac:dyDescent="0.5">
      <c r="A22" s="33"/>
      <c r="B22" s="95" t="s">
        <v>87</v>
      </c>
      <c r="C22" s="96">
        <v>9.0909090909090917</v>
      </c>
      <c r="D22" s="100" t="str">
        <f t="shared" si="2"/>
        <v>Titanium Dioxide</v>
      </c>
      <c r="E22" s="101">
        <f t="shared" si="0"/>
        <v>9.0909090909090917</v>
      </c>
      <c r="F22" s="100" t="str">
        <f t="shared" si="3"/>
        <v>Titanium Dioxide</v>
      </c>
      <c r="G22" s="101">
        <f t="shared" si="1"/>
        <v>9.0909090909090917</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22.527272727272731</v>
      </c>
      <c r="C38" s="29">
        <f>IF(ISNA(VLOOKUP($B18,'Chemical Analysis'!$B$4:$Y$119,3,0)),"",(VLOOKUP($B18,'Chemical Analysis'!$B$4:$Y$119,3,0))*$E18/100)</f>
        <v>0</v>
      </c>
      <c r="D38" s="29">
        <f>IF(ISNA(VLOOKUP($B18,'Chemical Analysis'!$B$4:$Y$119,4,0)),"",(VLOOKUP($B18,'Chemical Analysis'!$B$4:$Y$119,4,0))*$E18/100)</f>
        <v>8.036363636363637</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3.7418181818181817</v>
      </c>
      <c r="I38" s="29">
        <f>IF(ISNA(VLOOKUP($B18,'Chemical Analysis'!$B$4:$Y$119,9,0)),"",(VLOOKUP($B18,'Chemical Analysis'!$B$4:$Y$119,9,0))*$E18/100)</f>
        <v>1.6000000000000003</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1.090909090909091E-2</v>
      </c>
      <c r="M38" s="29">
        <f>IF(ISNA(VLOOKUP($B18,'Chemical Analysis'!$B$4:$Y$119,13,0)),"",(VLOOKUP($B18,'Chemical Analysis'!$B$4:$Y$119,13,0))*$E18/100)</f>
        <v>0.13090909090909092</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1.4545454545454549E-2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1.8181818181818186E-3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10.187272727272729</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26.874545454545455</v>
      </c>
      <c r="C40" s="29">
        <f>IF(ISNA(VLOOKUP($B20,'Chemical Analysis'!$B$4:$Y$119,3,0)),"",(VLOOKUP($B20,'Chemical Analysis'!$B$4:$Y$119,3,0))*$E20/100)</f>
        <v>0</v>
      </c>
      <c r="D40" s="29">
        <f>IF(ISNA(VLOOKUP($B20,'Chemical Analysis'!$B$4:$Y$119,4,0)),"",(VLOOKUP($B20,'Chemical Analysis'!$B$4:$Y$119,4,0))*$E20/100)</f>
        <v>0.11454545454545453</v>
      </c>
      <c r="E40" s="29">
        <f>IF(ISNA(VLOOKUP($B20,'Chemical Analysis'!$B$4:$Y$119,5,0)),"",(VLOOKUP($B20,'Chemical Analysis'!$B$4:$Y$119,5,0))*$E20/100)</f>
        <v>1.6363636363636361E-2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2.7272727272727271E-3</v>
      </c>
      <c r="M40" s="29">
        <f>IF(ISNA(VLOOKUP($B20,'Chemical Analysis'!$B$4:$Y$119,13,0)),"",(VLOOKUP($B20,'Chemical Analysis'!$B$4:$Y$119,13,0))*$E20/100)</f>
        <v>2.7272727272727271E-3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1.6363636363636361E-2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4.4945454545454551</v>
      </c>
      <c r="C41" s="29">
        <f>IF(ISNA(VLOOKUP($B21,'Chemical Analysis'!$B$4:$Y$119,3,0)),"",(VLOOKUP($B21,'Chemical Analysis'!$B$4:$Y$119,3,0))*$E21/100)</f>
        <v>0</v>
      </c>
      <c r="D41" s="29">
        <f>IF(ISNA(VLOOKUP($B21,'Chemical Analysis'!$B$4:$Y$119,4,0)),"",(VLOOKUP($B21,'Chemical Analysis'!$B$4:$Y$119,4,0))*$E21/100)</f>
        <v>3.2236363636363636</v>
      </c>
      <c r="E41" s="29">
        <f>IF(ISNA(VLOOKUP($B21,'Chemical Analysis'!$B$4:$Y$119,5,0)),"",(VLOOKUP($B21,'Chemical Analysis'!$B$4:$Y$119,5,0))*$E21/100)</f>
        <v>3.272727272727273E-2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3.6363636363636369E-2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1.4545454545454549E-2</v>
      </c>
      <c r="M41" s="29">
        <f>IF(ISNA(VLOOKUP($B21,'Chemical Analysis'!$B$4:$Y$119,13,0)),"",(VLOOKUP($B21,'Chemical Analysis'!$B$4:$Y$119,13,0))*$E21/100)</f>
        <v>4.5454545454545461E-3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4.6363636363636364E-2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9.0909090909090917</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53.896363636363638</v>
      </c>
      <c r="C54" s="55">
        <f t="shared" ref="C54:W54" si="8">SUM(C38:C53)</f>
        <v>0</v>
      </c>
      <c r="D54" s="55">
        <f t="shared" si="8"/>
        <v>11.374545454545455</v>
      </c>
      <c r="E54" s="55">
        <f t="shared" si="8"/>
        <v>9.1418181818181825</v>
      </c>
      <c r="F54" s="55">
        <f t="shared" si="8"/>
        <v>0</v>
      </c>
      <c r="G54" s="55">
        <f t="shared" si="8"/>
        <v>0</v>
      </c>
      <c r="H54" s="55">
        <f t="shared" si="8"/>
        <v>3.7418181818181817</v>
      </c>
      <c r="I54" s="55">
        <f t="shared" si="8"/>
        <v>1.6363636363636367</v>
      </c>
      <c r="J54" s="55">
        <f t="shared" si="8"/>
        <v>0</v>
      </c>
      <c r="K54" s="55">
        <f t="shared" si="8"/>
        <v>0</v>
      </c>
      <c r="L54" s="55">
        <f t="shared" si="8"/>
        <v>2.8181818181818186E-2</v>
      </c>
      <c r="M54" s="55">
        <f t="shared" si="8"/>
        <v>10.325454545454546</v>
      </c>
      <c r="N54" s="55">
        <f t="shared" si="8"/>
        <v>0</v>
      </c>
      <c r="O54" s="55">
        <f t="shared" si="8"/>
        <v>0</v>
      </c>
      <c r="P54" s="55">
        <f t="shared" si="8"/>
        <v>0</v>
      </c>
      <c r="Q54" s="55">
        <f t="shared" si="8"/>
        <v>7.7272727272727271E-2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100</v>
      </c>
      <c r="Z56" s="35"/>
      <c r="AE56"/>
      <c r="AF56"/>
      <c r="AG56"/>
      <c r="AH56"/>
    </row>
    <row r="57" spans="2:34" ht="12.9" thickBot="1" x14ac:dyDescent="0.35">
      <c r="B57" s="192">
        <f t="shared" ref="B57:X57" si="9">B$54/B$56</f>
        <v>0.89692733626832477</v>
      </c>
      <c r="C57" s="193">
        <f t="shared" si="9"/>
        <v>0</v>
      </c>
      <c r="D57" s="193">
        <f t="shared" si="9"/>
        <v>0.11155890010342738</v>
      </c>
      <c r="E57" s="193">
        <f t="shared" si="9"/>
        <v>0.11300146083829644</v>
      </c>
      <c r="F57" s="193">
        <f t="shared" si="9"/>
        <v>0</v>
      </c>
      <c r="G57" s="193">
        <f t="shared" si="9"/>
        <v>0</v>
      </c>
      <c r="H57" s="193">
        <f t="shared" si="9"/>
        <v>6.0371380797324653E-2</v>
      </c>
      <c r="I57" s="193">
        <f t="shared" si="9"/>
        <v>1.7371163867979156E-2</v>
      </c>
      <c r="J57" s="193">
        <f t="shared" si="9"/>
        <v>0</v>
      </c>
      <c r="K57" s="193">
        <f t="shared" si="9"/>
        <v>0</v>
      </c>
      <c r="L57" s="193">
        <f t="shared" si="9"/>
        <v>6.9912721860129463E-4</v>
      </c>
      <c r="M57" s="193">
        <f t="shared" si="9"/>
        <v>0.18412008818570874</v>
      </c>
      <c r="N57" s="193">
        <f t="shared" si="9"/>
        <v>0</v>
      </c>
      <c r="O57" s="193">
        <f t="shared" si="9"/>
        <v>0</v>
      </c>
      <c r="P57" s="193">
        <f t="shared" si="9"/>
        <v>0</v>
      </c>
      <c r="Q57" s="193">
        <f t="shared" si="9"/>
        <v>4.8386178630386521E-4</v>
      </c>
      <c r="R57" s="193">
        <f t="shared" si="9"/>
        <v>0</v>
      </c>
      <c r="S57" s="193">
        <f t="shared" si="9"/>
        <v>0</v>
      </c>
      <c r="T57" s="193">
        <f t="shared" si="9"/>
        <v>0</v>
      </c>
      <c r="U57" s="193">
        <f t="shared" si="9"/>
        <v>0</v>
      </c>
      <c r="V57" s="193">
        <f t="shared" si="9"/>
        <v>0</v>
      </c>
      <c r="W57" s="193">
        <f t="shared" si="9"/>
        <v>0</v>
      </c>
      <c r="X57" s="194">
        <f t="shared" si="9"/>
        <v>0</v>
      </c>
      <c r="Y57" s="104">
        <f>SUM(B57:X57)</f>
        <v>1.3845333190659666</v>
      </c>
      <c r="Z57" s="35"/>
      <c r="AE57"/>
      <c r="AF57"/>
      <c r="AG57"/>
      <c r="AH57"/>
    </row>
    <row r="58" spans="2:34" ht="12.9" thickBot="1" x14ac:dyDescent="0.35">
      <c r="B58" s="187">
        <f t="shared" ref="B58:X58" si="10">B57/$Y$57*100</f>
        <v>64.78192499357182</v>
      </c>
      <c r="C58" s="30">
        <f t="shared" si="10"/>
        <v>0</v>
      </c>
      <c r="D58" s="30">
        <f t="shared" si="10"/>
        <v>8.0575092391916741</v>
      </c>
      <c r="E58" s="30">
        <f t="shared" si="10"/>
        <v>8.1617003565164801</v>
      </c>
      <c r="F58" s="30">
        <f t="shared" si="10"/>
        <v>0</v>
      </c>
      <c r="G58" s="30">
        <f t="shared" si="10"/>
        <v>0</v>
      </c>
      <c r="H58" s="30">
        <f t="shared" si="10"/>
        <v>4.3604137196244857</v>
      </c>
      <c r="I58" s="30">
        <f t="shared" si="10"/>
        <v>1.2546584201886948</v>
      </c>
      <c r="J58" s="30">
        <f t="shared" si="10"/>
        <v>0</v>
      </c>
      <c r="K58" s="30">
        <f t="shared" si="10"/>
        <v>0</v>
      </c>
      <c r="L58" s="30">
        <f t="shared" si="10"/>
        <v>5.049551419051003E-2</v>
      </c>
      <c r="M58" s="30">
        <f t="shared" si="10"/>
        <v>13.298350111929397</v>
      </c>
      <c r="N58" s="30">
        <f t="shared" si="10"/>
        <v>0</v>
      </c>
      <c r="O58" s="30">
        <f t="shared" si="10"/>
        <v>0</v>
      </c>
      <c r="P58" s="30">
        <f t="shared" si="10"/>
        <v>0</v>
      </c>
      <c r="Q58" s="30">
        <f t="shared" si="10"/>
        <v>3.4947644786929931E-2</v>
      </c>
      <c r="R58" s="30">
        <f t="shared" si="10"/>
        <v>0</v>
      </c>
      <c r="S58" s="30">
        <f t="shared" si="10"/>
        <v>0</v>
      </c>
      <c r="T58" s="30">
        <f t="shared" si="10"/>
        <v>0</v>
      </c>
      <c r="U58" s="30">
        <f t="shared" si="10"/>
        <v>0</v>
      </c>
      <c r="V58" s="30">
        <f t="shared" si="10"/>
        <v>0</v>
      </c>
      <c r="W58" s="30">
        <f t="shared" si="10"/>
        <v>0</v>
      </c>
      <c r="X58" s="188">
        <f t="shared" si="10"/>
        <v>0</v>
      </c>
      <c r="Y58" s="104">
        <f>SUM(G58:U58)</f>
        <v>18.998865410720015</v>
      </c>
      <c r="Z58" s="35"/>
      <c r="AE58"/>
      <c r="AF58"/>
      <c r="AG58"/>
      <c r="AH58"/>
    </row>
    <row r="59" spans="2:34" ht="12.9" thickBot="1" x14ac:dyDescent="0.35">
      <c r="B59" s="189">
        <f t="shared" ref="B59:X59" si="11">B58/$Y$58</f>
        <v>3.409778615359786</v>
      </c>
      <c r="C59" s="190">
        <f t="shared" si="11"/>
        <v>0</v>
      </c>
      <c r="D59" s="190">
        <f t="shared" si="11"/>
        <v>0.42410475915289469</v>
      </c>
      <c r="E59" s="190">
        <f t="shared" si="11"/>
        <v>0.42958882965249501</v>
      </c>
      <c r="F59" s="190">
        <f t="shared" si="11"/>
        <v>0</v>
      </c>
      <c r="G59" s="190">
        <f t="shared" si="11"/>
        <v>0</v>
      </c>
      <c r="H59" s="190">
        <f t="shared" si="11"/>
        <v>0.22950916411903965</v>
      </c>
      <c r="I59" s="190">
        <f t="shared" si="11"/>
        <v>6.6038597203849872E-2</v>
      </c>
      <c r="J59" s="190">
        <f t="shared" si="11"/>
        <v>0</v>
      </c>
      <c r="K59" s="190">
        <f t="shared" si="11"/>
        <v>0</v>
      </c>
      <c r="L59" s="190">
        <f t="shared" si="11"/>
        <v>2.6578173537677775E-3</v>
      </c>
      <c r="M59" s="190">
        <f t="shared" si="11"/>
        <v>0.69995496175397243</v>
      </c>
      <c r="N59" s="190">
        <f t="shared" si="11"/>
        <v>0</v>
      </c>
      <c r="O59" s="190">
        <f t="shared" si="11"/>
        <v>0</v>
      </c>
      <c r="P59" s="190">
        <f t="shared" si="11"/>
        <v>0</v>
      </c>
      <c r="Q59" s="190">
        <f t="shared" si="11"/>
        <v>1.8394595693704372E-3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952E0D3-222E-4517-92D7-1635B6C58FAC}">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BAA5DE70-539B-4A48-BC55-46EF8CEF9E77}">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8E40FC4-15D9-4AB6-82C2-8EABFF5685E6}">
      <formula1>#REF!</formula1>
    </dataValidation>
    <dataValidation type="list" showInputMessage="1" showErrorMessage="1" sqref="B18:B33" xr:uid="{1671565C-0559-4ACD-B75B-DBF36B83FCEA}">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D943339-D1AF-4433-B9A8-A83CAA0FE50A}">
          <x14:formula1>
            <xm:f>'Chemical Analysis'!$AA$4:$AA$27</xm:f>
          </x14:formula1>
          <xm:sqref>G3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Q54"/>
  <sheetViews>
    <sheetView showZeros="0" zoomScale="90" zoomScaleNormal="90" zoomScalePageLayoutView="80" workbookViewId="0">
      <selection activeCell="C41" sqref="C41:P54"/>
    </sheetView>
  </sheetViews>
  <sheetFormatPr defaultColWidth="8.84375" defaultRowHeight="12.45" x14ac:dyDescent="0.3"/>
  <cols>
    <col min="2" max="2" width="2.69140625" customWidth="1"/>
    <col min="3" max="3" width="17.15234375" style="1" bestFit="1" customWidth="1"/>
    <col min="4" max="4" width="19.53515625" style="2" customWidth="1"/>
    <col min="5" max="5" width="2.69140625" customWidth="1"/>
    <col min="6" max="6" width="17.15234375" style="1" bestFit="1" customWidth="1"/>
    <col min="7" max="7" width="13.15234375" style="2" bestFit="1" customWidth="1"/>
    <col min="8" max="8" width="2.4609375" customWidth="1"/>
    <col min="9" max="9" width="16.23046875" style="1" bestFit="1" customWidth="1"/>
    <col min="10" max="10" width="13" style="2" bestFit="1" customWidth="1"/>
    <col min="11" max="11" width="2.4609375" customWidth="1"/>
    <col min="12" max="12" width="18.4609375" style="1" bestFit="1" customWidth="1"/>
    <col min="13" max="13" width="18.69140625" style="2" bestFit="1" customWidth="1"/>
    <col min="14" max="14" width="2.4609375" customWidth="1"/>
    <col min="15" max="15" width="19.4609375" style="1" bestFit="1" customWidth="1"/>
    <col min="16" max="16" width="16" style="2" bestFit="1" customWidth="1"/>
    <col min="17" max="17" width="2.4609375" customWidth="1"/>
  </cols>
  <sheetData>
    <row r="1" spans="2:17" ht="12.9" thickBot="1" x14ac:dyDescent="0.35"/>
    <row r="2" spans="2:17" ht="12.9" thickBot="1" x14ac:dyDescent="0.35">
      <c r="B2" s="3"/>
      <c r="C2" s="4"/>
      <c r="D2" s="5"/>
      <c r="E2" s="6"/>
      <c r="F2" s="4"/>
      <c r="G2" s="5"/>
      <c r="H2" s="6"/>
      <c r="I2" s="4"/>
      <c r="J2" s="5"/>
      <c r="K2" s="6"/>
      <c r="L2" s="4"/>
      <c r="M2" s="5"/>
      <c r="N2" s="6"/>
      <c r="O2" s="4"/>
      <c r="P2" s="5"/>
      <c r="Q2" s="7"/>
    </row>
    <row r="3" spans="2:17" ht="14.25" customHeight="1" thickBot="1" x14ac:dyDescent="0.35">
      <c r="B3" s="8"/>
      <c r="C3" s="266">
        <v>1</v>
      </c>
      <c r="D3" s="267"/>
      <c r="E3" s="10"/>
      <c r="F3" s="266">
        <v>2</v>
      </c>
      <c r="G3" s="267"/>
      <c r="H3" s="10"/>
      <c r="I3" s="266">
        <v>3</v>
      </c>
      <c r="J3" s="267"/>
      <c r="K3" s="10"/>
      <c r="L3" s="266">
        <v>4</v>
      </c>
      <c r="M3" s="267"/>
      <c r="N3" s="10"/>
      <c r="O3" s="266">
        <v>5</v>
      </c>
      <c r="P3" s="267"/>
      <c r="Q3" s="11"/>
    </row>
    <row r="4" spans="2:17" ht="12.9" thickBot="1" x14ac:dyDescent="0.35">
      <c r="B4" s="8"/>
      <c r="C4" s="126" t="str">
        <f>Date!B2</f>
        <v>010119</v>
      </c>
      <c r="D4" s="127">
        <f>'1'!C2</f>
        <v>-1</v>
      </c>
      <c r="E4" s="9"/>
      <c r="F4" s="126" t="str">
        <f>'2'!B2</f>
        <v>010119</v>
      </c>
      <c r="G4" s="127">
        <f>'2'!C2</f>
        <v>-2</v>
      </c>
      <c r="H4" s="10"/>
      <c r="I4" s="133" t="str">
        <f>'3'!B2</f>
        <v>010119</v>
      </c>
      <c r="J4" s="127">
        <f>'3'!C2</f>
        <v>-3</v>
      </c>
      <c r="K4" s="10"/>
      <c r="L4" s="126" t="str">
        <f>'4'!B2</f>
        <v>010119</v>
      </c>
      <c r="M4" s="127">
        <f>'4'!C2</f>
        <v>-4</v>
      </c>
      <c r="N4" s="10"/>
      <c r="O4" s="126" t="str">
        <f>'5'!B2</f>
        <v>010119</v>
      </c>
      <c r="P4" s="127">
        <f>'5'!C2</f>
        <v>-5</v>
      </c>
      <c r="Q4" s="11"/>
    </row>
    <row r="5" spans="2:17" x14ac:dyDescent="0.3">
      <c r="B5" s="8"/>
      <c r="C5" s="128" t="str">
        <f>'1'!F18</f>
        <v>Neph Sy</v>
      </c>
      <c r="D5" s="129">
        <f>'1'!G18</f>
        <v>39.603960396039604</v>
      </c>
      <c r="E5" s="18"/>
      <c r="F5" s="131" t="str">
        <f>'2'!F18</f>
        <v>Neph Sy</v>
      </c>
      <c r="G5" s="129">
        <f>'2'!G18</f>
        <v>39.215686274509814</v>
      </c>
      <c r="H5" s="18"/>
      <c r="I5" s="131" t="str">
        <f>'3'!F18</f>
        <v>Neph Sy</v>
      </c>
      <c r="J5" s="129">
        <f>'3'!G18</f>
        <v>38.834951456310677</v>
      </c>
      <c r="K5" s="18"/>
      <c r="L5" s="128" t="str">
        <f>'4'!F18</f>
        <v>Neph Sy</v>
      </c>
      <c r="M5" s="129">
        <f>'4'!G18</f>
        <v>38.461538461538467</v>
      </c>
      <c r="N5" s="18"/>
      <c r="O5" s="131" t="str">
        <f>'5'!F18</f>
        <v>Neph Sy</v>
      </c>
      <c r="P5" s="129">
        <f>'5'!G18</f>
        <v>38.095238095238102</v>
      </c>
      <c r="Q5" s="11"/>
    </row>
    <row r="6" spans="2:17" x14ac:dyDescent="0.3">
      <c r="B6" s="8"/>
      <c r="C6" s="19" t="str">
        <f>'1'!F19</f>
        <v>Whiting</v>
      </c>
      <c r="D6" s="23">
        <f>'1'!G19</f>
        <v>19.801980198019802</v>
      </c>
      <c r="E6" s="18"/>
      <c r="F6" s="132" t="str">
        <f>'2'!F19</f>
        <v>Whiting</v>
      </c>
      <c r="G6" s="23">
        <f>'2'!G19</f>
        <v>19.607843137254907</v>
      </c>
      <c r="H6" s="18"/>
      <c r="I6" s="132" t="str">
        <f>'3'!F19</f>
        <v>Whiting</v>
      </c>
      <c r="J6" s="23">
        <f>'3'!G19</f>
        <v>19.417475728155338</v>
      </c>
      <c r="K6" s="18"/>
      <c r="L6" s="19" t="str">
        <f>'4'!F19</f>
        <v>Whiting</v>
      </c>
      <c r="M6" s="23">
        <f>'4'!G19</f>
        <v>19.230769230769234</v>
      </c>
      <c r="N6" s="18"/>
      <c r="O6" s="132" t="str">
        <f>'5'!F19</f>
        <v>Whiting</v>
      </c>
      <c r="P6" s="23">
        <f>'5'!G19</f>
        <v>19.047619047619051</v>
      </c>
      <c r="Q6" s="11"/>
    </row>
    <row r="7" spans="2:17" x14ac:dyDescent="0.3">
      <c r="B7" s="8"/>
      <c r="C7" s="19" t="str">
        <f>'1'!F20</f>
        <v xml:space="preserve">Flint </v>
      </c>
      <c r="D7" s="23">
        <f>'1'!G20</f>
        <v>29.702970297029701</v>
      </c>
      <c r="E7" s="18"/>
      <c r="F7" s="132" t="str">
        <f>'2'!F20</f>
        <v xml:space="preserve">Flint </v>
      </c>
      <c r="G7" s="23">
        <f>'2'!G20</f>
        <v>29.411764705882355</v>
      </c>
      <c r="H7" s="18"/>
      <c r="I7" s="132" t="str">
        <f>'3'!F20</f>
        <v xml:space="preserve">Flint </v>
      </c>
      <c r="J7" s="23">
        <f>'3'!G20</f>
        <v>29.126213592233007</v>
      </c>
      <c r="K7" s="18"/>
      <c r="L7" s="19" t="str">
        <f>'4'!F20</f>
        <v xml:space="preserve">Flint </v>
      </c>
      <c r="M7" s="23">
        <f>'4'!G20</f>
        <v>28.846153846153843</v>
      </c>
      <c r="N7" s="18"/>
      <c r="O7" s="132" t="str">
        <f>'5'!F20</f>
        <v xml:space="preserve">Flint </v>
      </c>
      <c r="P7" s="23">
        <f>'5'!G20</f>
        <v>28.571428571428577</v>
      </c>
      <c r="Q7" s="11"/>
    </row>
    <row r="8" spans="2:17" x14ac:dyDescent="0.3">
      <c r="B8" s="8"/>
      <c r="C8" s="19" t="str">
        <f>'1'!F21</f>
        <v>EPK</v>
      </c>
      <c r="D8" s="23">
        <f>'1'!G21</f>
        <v>9.9009900990099009</v>
      </c>
      <c r="E8" s="18"/>
      <c r="F8" s="132" t="str">
        <f>'2'!F21</f>
        <v>EPK</v>
      </c>
      <c r="G8" s="23">
        <f>'2'!G21</f>
        <v>9.8039215686274535</v>
      </c>
      <c r="H8" s="18"/>
      <c r="I8" s="132" t="str">
        <f>'3'!F21</f>
        <v>EPK</v>
      </c>
      <c r="J8" s="23">
        <f>'3'!G21</f>
        <v>9.7087378640776691</v>
      </c>
      <c r="K8" s="18"/>
      <c r="L8" s="19" t="str">
        <f>'4'!F21</f>
        <v>EPK</v>
      </c>
      <c r="M8" s="23">
        <f>'4'!G21</f>
        <v>9.6153846153846168</v>
      </c>
      <c r="N8" s="18"/>
      <c r="O8" s="132" t="str">
        <f>'5'!F21</f>
        <v>EPK</v>
      </c>
      <c r="P8" s="23">
        <f>'5'!G21</f>
        <v>9.5238095238095255</v>
      </c>
      <c r="Q8" s="11"/>
    </row>
    <row r="9" spans="2:17" x14ac:dyDescent="0.3">
      <c r="B9" s="8"/>
      <c r="C9" s="19" t="str">
        <f>'1'!F22</f>
        <v>Titanium Dioxide</v>
      </c>
      <c r="D9" s="23">
        <f>'1'!G22</f>
        <v>0.99009900990099009</v>
      </c>
      <c r="E9" s="18"/>
      <c r="F9" s="132" t="str">
        <f>'2'!F22</f>
        <v>Titanium Dioxide</v>
      </c>
      <c r="G9" s="23">
        <f>'2'!G22</f>
        <v>1.9607843137254901</v>
      </c>
      <c r="H9" s="18"/>
      <c r="I9" s="132" t="str">
        <f>'3'!F22</f>
        <v>Titanium Dioxide</v>
      </c>
      <c r="J9" s="23">
        <f>'3'!G22</f>
        <v>2.912621359223301</v>
      </c>
      <c r="K9" s="18"/>
      <c r="L9" s="19" t="str">
        <f>'4'!F22</f>
        <v>Titanium Dioxide</v>
      </c>
      <c r="M9" s="23">
        <f>'4'!G22</f>
        <v>3.8461538461538463</v>
      </c>
      <c r="N9" s="18"/>
      <c r="O9" s="132" t="str">
        <f>'5'!F22</f>
        <v>Titanium Dioxide</v>
      </c>
      <c r="P9" s="23">
        <f>'5'!G22</f>
        <v>4.7619047619047628</v>
      </c>
      <c r="Q9" s="11"/>
    </row>
    <row r="10" spans="2:17" x14ac:dyDescent="0.3">
      <c r="B10" s="8"/>
      <c r="C10" s="19">
        <f>'1'!F23</f>
        <v>0</v>
      </c>
      <c r="D10" s="23">
        <f>'1'!G23</f>
        <v>0</v>
      </c>
      <c r="E10" s="18"/>
      <c r="F10" s="132">
        <f>'2'!F23</f>
        <v>0</v>
      </c>
      <c r="G10" s="23">
        <f>'2'!G23</f>
        <v>0</v>
      </c>
      <c r="H10" s="18"/>
      <c r="I10" s="132">
        <f>'3'!F23</f>
        <v>0</v>
      </c>
      <c r="J10" s="23">
        <f>'3'!G23</f>
        <v>0</v>
      </c>
      <c r="K10" s="18"/>
      <c r="L10" s="19">
        <f>'4'!F23</f>
        <v>0</v>
      </c>
      <c r="M10" s="23">
        <f>'4'!G23</f>
        <v>0</v>
      </c>
      <c r="N10" s="10"/>
      <c r="O10" s="132">
        <f>'5'!F23</f>
        <v>0</v>
      </c>
      <c r="P10" s="23">
        <f>'5'!G23</f>
        <v>0</v>
      </c>
      <c r="Q10" s="11"/>
    </row>
    <row r="11" spans="2:17" x14ac:dyDescent="0.3">
      <c r="B11" s="8"/>
      <c r="C11" s="19">
        <f>'1'!F24</f>
        <v>0</v>
      </c>
      <c r="D11" s="23">
        <f>'1'!G24</f>
        <v>0</v>
      </c>
      <c r="E11" s="18"/>
      <c r="F11" s="132">
        <f>'2'!F24</f>
        <v>0</v>
      </c>
      <c r="G11" s="23">
        <f>'2'!G24</f>
        <v>0</v>
      </c>
      <c r="H11" s="18"/>
      <c r="I11" s="132">
        <f>'3'!F24</f>
        <v>0</v>
      </c>
      <c r="J11" s="23">
        <f>'3'!G24</f>
        <v>0</v>
      </c>
      <c r="K11" s="18"/>
      <c r="L11" s="19">
        <f>'4'!F24</f>
        <v>0</v>
      </c>
      <c r="M11" s="23">
        <f>'4'!G24</f>
        <v>0</v>
      </c>
      <c r="N11" s="10"/>
      <c r="O11" s="132">
        <f>'5'!F24</f>
        <v>0</v>
      </c>
      <c r="P11" s="23">
        <f>'5'!G24</f>
        <v>0</v>
      </c>
      <c r="Q11" s="11"/>
    </row>
    <row r="12" spans="2:17" x14ac:dyDescent="0.3">
      <c r="B12" s="8"/>
      <c r="C12" s="19">
        <f>'1'!F25</f>
        <v>0</v>
      </c>
      <c r="D12" s="23">
        <f>'1'!G25</f>
        <v>0</v>
      </c>
      <c r="E12" s="18"/>
      <c r="F12" s="132">
        <f>'2'!F25</f>
        <v>0</v>
      </c>
      <c r="G12" s="23">
        <f>'2'!G25</f>
        <v>0</v>
      </c>
      <c r="H12" s="18"/>
      <c r="I12" s="132">
        <f>'3'!F25</f>
        <v>0</v>
      </c>
      <c r="J12" s="23">
        <f>'3'!G25</f>
        <v>0</v>
      </c>
      <c r="K12" s="18"/>
      <c r="L12" s="19">
        <f>'4'!F25</f>
        <v>0</v>
      </c>
      <c r="M12" s="23">
        <f>'4'!G25</f>
        <v>0</v>
      </c>
      <c r="N12" s="10"/>
      <c r="O12" s="132">
        <f>'5'!F25</f>
        <v>0</v>
      </c>
      <c r="P12" s="23">
        <f>'5'!G25</f>
        <v>0</v>
      </c>
      <c r="Q12" s="11"/>
    </row>
    <row r="13" spans="2:17" x14ac:dyDescent="0.3">
      <c r="B13" s="8"/>
      <c r="C13" s="19">
        <f>'1'!F26</f>
        <v>0</v>
      </c>
      <c r="D13" s="23">
        <f>'1'!G26</f>
        <v>0</v>
      </c>
      <c r="E13" s="18"/>
      <c r="F13" s="132">
        <f>'2'!F26</f>
        <v>0</v>
      </c>
      <c r="G13" s="23">
        <f>'2'!G26</f>
        <v>0</v>
      </c>
      <c r="H13" s="18"/>
      <c r="I13" s="132">
        <f>'3'!F26</f>
        <v>0</v>
      </c>
      <c r="J13" s="23">
        <f>'3'!G26</f>
        <v>0</v>
      </c>
      <c r="K13" s="18"/>
      <c r="L13" s="19">
        <f>'4'!F26</f>
        <v>0</v>
      </c>
      <c r="M13" s="23">
        <f>'4'!G26</f>
        <v>0</v>
      </c>
      <c r="N13" s="10"/>
      <c r="O13" s="132">
        <f>'5'!F26</f>
        <v>0</v>
      </c>
      <c r="P13" s="23">
        <f>'5'!G26</f>
        <v>0</v>
      </c>
      <c r="Q13" s="11"/>
    </row>
    <row r="14" spans="2:17" x14ac:dyDescent="0.3">
      <c r="B14" s="8"/>
      <c r="C14" s="19">
        <f>'1'!F27</f>
        <v>0</v>
      </c>
      <c r="D14" s="23">
        <f>'1'!G27</f>
        <v>0</v>
      </c>
      <c r="E14" s="18"/>
      <c r="F14" s="132">
        <f>'2'!F27</f>
        <v>0</v>
      </c>
      <c r="G14" s="23">
        <f>'2'!G27</f>
        <v>0</v>
      </c>
      <c r="H14" s="18"/>
      <c r="I14" s="132">
        <f>'3'!F27</f>
        <v>0</v>
      </c>
      <c r="J14" s="23">
        <f>'3'!G27</f>
        <v>0</v>
      </c>
      <c r="K14" s="18"/>
      <c r="L14" s="19">
        <f>'4'!F27</f>
        <v>0</v>
      </c>
      <c r="M14" s="23">
        <f>'4'!G27</f>
        <v>0</v>
      </c>
      <c r="N14" s="10"/>
      <c r="O14" s="132">
        <f>'5'!F27</f>
        <v>0</v>
      </c>
      <c r="P14" s="23">
        <f>'5'!G27</f>
        <v>0</v>
      </c>
      <c r="Q14" s="11"/>
    </row>
    <row r="15" spans="2:17" x14ac:dyDescent="0.3">
      <c r="B15" s="8"/>
      <c r="C15" s="19">
        <f>'1'!F28</f>
        <v>0</v>
      </c>
      <c r="D15" s="23">
        <f>'1'!G28</f>
        <v>0</v>
      </c>
      <c r="E15" s="18"/>
      <c r="F15" s="132">
        <f>'2'!F28</f>
        <v>0</v>
      </c>
      <c r="G15" s="23">
        <f>'2'!G28</f>
        <v>0</v>
      </c>
      <c r="H15" s="18"/>
      <c r="I15" s="132">
        <f>'3'!F28</f>
        <v>0</v>
      </c>
      <c r="J15" s="23">
        <f>'3'!G28</f>
        <v>0</v>
      </c>
      <c r="K15" s="18"/>
      <c r="L15" s="19">
        <f>'4'!F28</f>
        <v>0</v>
      </c>
      <c r="M15" s="23">
        <f>'4'!G28</f>
        <v>0</v>
      </c>
      <c r="N15" s="10"/>
      <c r="O15" s="132">
        <f>'5'!F28</f>
        <v>0</v>
      </c>
      <c r="P15" s="23">
        <f>'5'!G28</f>
        <v>0</v>
      </c>
      <c r="Q15" s="11"/>
    </row>
    <row r="16" spans="2:17" x14ac:dyDescent="0.3">
      <c r="B16" s="8"/>
      <c r="C16" s="19">
        <f>'1'!F29</f>
        <v>0</v>
      </c>
      <c r="D16" s="23">
        <f>'1'!G29</f>
        <v>0</v>
      </c>
      <c r="E16" s="18"/>
      <c r="F16" s="132">
        <f>'2'!F29</f>
        <v>0</v>
      </c>
      <c r="G16" s="23">
        <f>'2'!G29</f>
        <v>0</v>
      </c>
      <c r="H16" s="18"/>
      <c r="I16" s="132">
        <f>'3'!F29</f>
        <v>0</v>
      </c>
      <c r="J16" s="23">
        <f>'3'!G29</f>
        <v>0</v>
      </c>
      <c r="K16" s="18"/>
      <c r="L16" s="19">
        <f>'4'!F29</f>
        <v>0</v>
      </c>
      <c r="M16" s="23">
        <f>'4'!G29</f>
        <v>0</v>
      </c>
      <c r="N16" s="10"/>
      <c r="O16" s="132">
        <f>'5'!F29</f>
        <v>0</v>
      </c>
      <c r="P16" s="23">
        <f>'5'!G29</f>
        <v>0</v>
      </c>
      <c r="Q16" s="11"/>
    </row>
    <row r="17" spans="2:17" x14ac:dyDescent="0.3">
      <c r="B17" s="8"/>
      <c r="C17" s="19">
        <f>'1'!F30</f>
        <v>0</v>
      </c>
      <c r="D17" s="23">
        <f>'1'!G30</f>
        <v>0</v>
      </c>
      <c r="E17" s="18"/>
      <c r="F17" s="132">
        <f>'2'!F30</f>
        <v>0</v>
      </c>
      <c r="G17" s="23">
        <f>'2'!G30</f>
        <v>0</v>
      </c>
      <c r="H17" s="18"/>
      <c r="I17" s="132">
        <f>'3'!F30</f>
        <v>0</v>
      </c>
      <c r="J17" s="23">
        <f>'3'!G30</f>
        <v>0</v>
      </c>
      <c r="K17" s="18"/>
      <c r="L17" s="19">
        <f>'4'!F30</f>
        <v>0</v>
      </c>
      <c r="M17" s="23">
        <f>'4'!G30</f>
        <v>0</v>
      </c>
      <c r="N17" s="10"/>
      <c r="O17" s="132">
        <f>'5'!F30</f>
        <v>0</v>
      </c>
      <c r="P17" s="23">
        <f>'5'!G30</f>
        <v>0</v>
      </c>
      <c r="Q17" s="11"/>
    </row>
    <row r="18" spans="2:17" ht="13.5" customHeight="1" x14ac:dyDescent="0.3">
      <c r="B18" s="8"/>
      <c r="C18" s="19">
        <f>'1'!F31</f>
        <v>0</v>
      </c>
      <c r="D18" s="23">
        <f>'1'!G31</f>
        <v>0</v>
      </c>
      <c r="E18" s="10"/>
      <c r="F18" s="132">
        <f>'2'!F31</f>
        <v>0</v>
      </c>
      <c r="G18" s="23">
        <f>'2'!G31</f>
        <v>0</v>
      </c>
      <c r="H18" s="10"/>
      <c r="I18" s="132">
        <f>'3'!F31</f>
        <v>0</v>
      </c>
      <c r="J18" s="23">
        <f>'3'!G31</f>
        <v>0</v>
      </c>
      <c r="K18" s="10"/>
      <c r="L18" s="19">
        <f>'4'!F31</f>
        <v>0</v>
      </c>
      <c r="M18" s="23">
        <f>'4'!G31</f>
        <v>0</v>
      </c>
      <c r="N18" s="10"/>
      <c r="O18" s="132">
        <f>'5'!F31</f>
        <v>0</v>
      </c>
      <c r="P18" s="23">
        <f>'5'!G31</f>
        <v>0</v>
      </c>
      <c r="Q18" s="11"/>
    </row>
    <row r="19" spans="2:17" ht="13.5" customHeight="1" x14ac:dyDescent="0.3">
      <c r="B19" s="8"/>
      <c r="C19" s="19">
        <f>'1'!F32</f>
        <v>0</v>
      </c>
      <c r="D19" s="23">
        <f>'1'!G32</f>
        <v>0</v>
      </c>
      <c r="E19" s="10"/>
      <c r="F19" s="132">
        <f>'2'!F32</f>
        <v>0</v>
      </c>
      <c r="G19" s="23">
        <f>'2'!G32</f>
        <v>0</v>
      </c>
      <c r="H19" s="10"/>
      <c r="I19" s="132">
        <f>'3'!F32</f>
        <v>0</v>
      </c>
      <c r="J19" s="23">
        <f>'3'!G32</f>
        <v>0</v>
      </c>
      <c r="K19" s="10"/>
      <c r="L19" s="19">
        <f>'4'!F32</f>
        <v>0</v>
      </c>
      <c r="M19" s="23">
        <f>'4'!G32</f>
        <v>0</v>
      </c>
      <c r="N19" s="10"/>
      <c r="O19" s="132">
        <f>'5'!F32</f>
        <v>0</v>
      </c>
      <c r="P19" s="23">
        <f>'5'!G32</f>
        <v>0</v>
      </c>
      <c r="Q19" s="11"/>
    </row>
    <row r="20" spans="2:17" ht="13.5" customHeight="1" thickBot="1" x14ac:dyDescent="0.35">
      <c r="B20" s="8"/>
      <c r="C20" s="130">
        <f>'1'!F33</f>
        <v>0</v>
      </c>
      <c r="D20" s="134">
        <f>'1'!G33</f>
        <v>0</v>
      </c>
      <c r="E20" s="10"/>
      <c r="F20" s="135">
        <f>'2'!F33</f>
        <v>0</v>
      </c>
      <c r="G20" s="134">
        <f>'2'!G33</f>
        <v>0</v>
      </c>
      <c r="H20" s="10"/>
      <c r="I20" s="135">
        <f>'3'!F33</f>
        <v>0</v>
      </c>
      <c r="J20" s="134">
        <f>'3'!G33</f>
        <v>0</v>
      </c>
      <c r="K20" s="10"/>
      <c r="L20" s="130">
        <f>'4'!F33</f>
        <v>0</v>
      </c>
      <c r="M20" s="134">
        <f>'4'!G33</f>
        <v>0</v>
      </c>
      <c r="N20" s="10"/>
      <c r="O20" s="135">
        <f>'5'!F33</f>
        <v>0</v>
      </c>
      <c r="P20" s="134">
        <f>'5'!G33</f>
        <v>0</v>
      </c>
      <c r="Q20" s="11"/>
    </row>
    <row r="21" spans="2:17" ht="13.5" customHeight="1" thickBot="1" x14ac:dyDescent="0.35">
      <c r="B21" s="8"/>
      <c r="C21" s="21"/>
      <c r="D21" s="21"/>
      <c r="E21" s="10"/>
      <c r="F21" s="20"/>
      <c r="G21" s="21"/>
      <c r="H21" s="10"/>
      <c r="I21" s="20"/>
      <c r="J21" s="21"/>
      <c r="K21" s="10"/>
      <c r="L21" s="20"/>
      <c r="M21" s="18"/>
      <c r="N21" s="10"/>
      <c r="O21" s="22"/>
      <c r="P21" s="18"/>
      <c r="Q21" s="11"/>
    </row>
    <row r="22" spans="2:17" ht="15" customHeight="1" thickBot="1" x14ac:dyDescent="0.35">
      <c r="B22" s="8"/>
      <c r="C22" s="266">
        <v>6</v>
      </c>
      <c r="D22" s="267"/>
      <c r="E22" s="10"/>
      <c r="F22" s="266">
        <v>7</v>
      </c>
      <c r="G22" s="267"/>
      <c r="H22" s="10"/>
      <c r="I22" s="266">
        <v>8</v>
      </c>
      <c r="J22" s="267"/>
      <c r="K22" s="10"/>
      <c r="L22" s="266">
        <v>9</v>
      </c>
      <c r="M22" s="267"/>
      <c r="N22" s="10"/>
      <c r="O22" s="277">
        <v>10</v>
      </c>
      <c r="P22" s="278"/>
      <c r="Q22" s="11"/>
    </row>
    <row r="23" spans="2:17" ht="12.9" thickBot="1" x14ac:dyDescent="0.35">
      <c r="B23" s="8"/>
      <c r="C23" s="126" t="str">
        <f>'6'!B2</f>
        <v>010119</v>
      </c>
      <c r="D23" s="127">
        <f>'6'!C2</f>
        <v>-6</v>
      </c>
      <c r="E23" s="10"/>
      <c r="F23" s="126" t="str">
        <f>'7'!B2</f>
        <v>010119</v>
      </c>
      <c r="G23" s="127">
        <f>'7'!C2</f>
        <v>-7</v>
      </c>
      <c r="H23" s="10"/>
      <c r="I23" s="126" t="str">
        <f>'8'!B2</f>
        <v>010119</v>
      </c>
      <c r="J23" s="127">
        <f>'8'!C2</f>
        <v>-8</v>
      </c>
      <c r="K23" s="10"/>
      <c r="L23" s="126" t="str">
        <f>'9'!B2</f>
        <v>010119</v>
      </c>
      <c r="M23" s="127">
        <f>'9'!C2</f>
        <v>-9</v>
      </c>
      <c r="N23" s="10"/>
      <c r="O23" s="126" t="str">
        <f>'10'!B2</f>
        <v>010119</v>
      </c>
      <c r="P23" s="127">
        <f>'10'!C2</f>
        <v>-10</v>
      </c>
      <c r="Q23" s="11"/>
    </row>
    <row r="24" spans="2:17" x14ac:dyDescent="0.3">
      <c r="B24" s="8"/>
      <c r="C24" s="128" t="str">
        <f>'6'!F18</f>
        <v>Neph Sy</v>
      </c>
      <c r="D24" s="129">
        <f>'6'!G18</f>
        <v>37.735849056603783</v>
      </c>
      <c r="E24" s="18"/>
      <c r="F24" s="128" t="str">
        <f>'7'!F18</f>
        <v>Neph Sy</v>
      </c>
      <c r="G24" s="129">
        <f>'7'!G18</f>
        <v>37.383177570093466</v>
      </c>
      <c r="H24" s="10"/>
      <c r="I24" s="132" t="str">
        <f>'8'!F18</f>
        <v>Neph Sy</v>
      </c>
      <c r="J24" s="23">
        <f>'8'!G18</f>
        <v>37.037037037037045</v>
      </c>
      <c r="K24" s="10"/>
      <c r="L24" s="128" t="str">
        <f>'9'!F18</f>
        <v>Neph Sy</v>
      </c>
      <c r="M24" s="129">
        <f>'9'!G18</f>
        <v>36.697247706422012</v>
      </c>
      <c r="N24" s="10"/>
      <c r="O24" s="128" t="str">
        <f>'10'!F18</f>
        <v>Neph Sy</v>
      </c>
      <c r="P24" s="129">
        <f>'10'!G18</f>
        <v>36.363636363636367</v>
      </c>
      <c r="Q24" s="11"/>
    </row>
    <row r="25" spans="2:17" x14ac:dyDescent="0.3">
      <c r="B25" s="8"/>
      <c r="C25" s="19" t="str">
        <f>'6'!F19</f>
        <v>Whiting</v>
      </c>
      <c r="D25" s="23">
        <f>'6'!G19</f>
        <v>18.867924528301891</v>
      </c>
      <c r="E25" s="18"/>
      <c r="F25" s="19" t="str">
        <f>'7'!F19</f>
        <v>Whiting</v>
      </c>
      <c r="G25" s="23">
        <f>'7'!G19</f>
        <v>18.691588785046733</v>
      </c>
      <c r="H25" s="10"/>
      <c r="I25" s="132" t="str">
        <f>'8'!F19</f>
        <v>Whiting</v>
      </c>
      <c r="J25" s="23">
        <f>'8'!G19</f>
        <v>18.518518518518523</v>
      </c>
      <c r="K25" s="10"/>
      <c r="L25" s="19" t="str">
        <f>'9'!F19</f>
        <v>Whiting</v>
      </c>
      <c r="M25" s="23">
        <f>'9'!G19</f>
        <v>18.348623853211006</v>
      </c>
      <c r="N25" s="10"/>
      <c r="O25" s="19" t="str">
        <f>'10'!F19</f>
        <v>Whiting</v>
      </c>
      <c r="P25" s="23">
        <f>'10'!G19</f>
        <v>18.181818181818183</v>
      </c>
      <c r="Q25" s="11"/>
    </row>
    <row r="26" spans="2:17" x14ac:dyDescent="0.3">
      <c r="B26" s="8"/>
      <c r="C26" s="19" t="str">
        <f>'6'!F20</f>
        <v xml:space="preserve">Flint </v>
      </c>
      <c r="D26" s="23">
        <f>'6'!G20</f>
        <v>28.30188679245283</v>
      </c>
      <c r="E26" s="18"/>
      <c r="F26" s="19" t="str">
        <f>'7'!F20</f>
        <v xml:space="preserve">Flint </v>
      </c>
      <c r="G26" s="23">
        <f>'7'!G20</f>
        <v>28.037383177570096</v>
      </c>
      <c r="H26" s="10"/>
      <c r="I26" s="132" t="str">
        <f>'8'!F20</f>
        <v xml:space="preserve">Flint </v>
      </c>
      <c r="J26" s="23">
        <f>'8'!G20</f>
        <v>27.777777777777779</v>
      </c>
      <c r="K26" s="10"/>
      <c r="L26" s="19" t="str">
        <f>'9'!F20</f>
        <v xml:space="preserve">Flint </v>
      </c>
      <c r="M26" s="23">
        <f>'9'!G20</f>
        <v>27.522935779816503</v>
      </c>
      <c r="N26" s="10"/>
      <c r="O26" s="19" t="str">
        <f>'10'!F20</f>
        <v xml:space="preserve">Flint </v>
      </c>
      <c r="P26" s="23">
        <f>'10'!G20</f>
        <v>27.27272727272727</v>
      </c>
      <c r="Q26" s="11"/>
    </row>
    <row r="27" spans="2:17" x14ac:dyDescent="0.3">
      <c r="B27" s="8"/>
      <c r="C27" s="19" t="str">
        <f>'6'!F21</f>
        <v>EPK</v>
      </c>
      <c r="D27" s="23">
        <f>'6'!G21</f>
        <v>9.4339622641509457</v>
      </c>
      <c r="E27" s="18"/>
      <c r="F27" s="19" t="str">
        <f>'7'!F21</f>
        <v>EPK</v>
      </c>
      <c r="G27" s="23">
        <f>'7'!G21</f>
        <v>9.3457943925233664</v>
      </c>
      <c r="H27" s="10"/>
      <c r="I27" s="132" t="str">
        <f>'8'!F21</f>
        <v>EPK</v>
      </c>
      <c r="J27" s="23">
        <f>'8'!G21</f>
        <v>9.2592592592592613</v>
      </c>
      <c r="K27" s="10"/>
      <c r="L27" s="19" t="str">
        <f>'9'!F21</f>
        <v>EPK</v>
      </c>
      <c r="M27" s="23">
        <f>'9'!G21</f>
        <v>9.1743119266055029</v>
      </c>
      <c r="N27" s="10"/>
      <c r="O27" s="19" t="str">
        <f>'10'!F21</f>
        <v>EPK</v>
      </c>
      <c r="P27" s="23">
        <f>'10'!G21</f>
        <v>9.0909090909090917</v>
      </c>
      <c r="Q27" s="11"/>
    </row>
    <row r="28" spans="2:17" x14ac:dyDescent="0.3">
      <c r="B28" s="8"/>
      <c r="C28" s="19" t="str">
        <f>'6'!F22</f>
        <v>Titanium Dioxide</v>
      </c>
      <c r="D28" s="23">
        <f>'6'!G22</f>
        <v>5.6603773584905674</v>
      </c>
      <c r="E28" s="18"/>
      <c r="F28" s="19" t="str">
        <f>'7'!F22</f>
        <v>Titanium Dioxide</v>
      </c>
      <c r="G28" s="23">
        <f>'7'!G22</f>
        <v>6.5420560747663554</v>
      </c>
      <c r="H28" s="10"/>
      <c r="I28" s="132" t="str">
        <f>'8'!F22</f>
        <v>Titanium Dioxide</v>
      </c>
      <c r="J28" s="23">
        <f>'8'!G22</f>
        <v>7.4074074074074066</v>
      </c>
      <c r="K28" s="10"/>
      <c r="L28" s="19" t="str">
        <f>'9'!F22</f>
        <v>Titanium Dioxide</v>
      </c>
      <c r="M28" s="23">
        <f>'9'!G22</f>
        <v>8.2568807339449535</v>
      </c>
      <c r="N28" s="10"/>
      <c r="O28" s="19" t="str">
        <f>'10'!F22</f>
        <v>Titanium Dioxide</v>
      </c>
      <c r="P28" s="23">
        <f>'10'!G22</f>
        <v>9.0909090909090917</v>
      </c>
      <c r="Q28" s="11"/>
    </row>
    <row r="29" spans="2:17" x14ac:dyDescent="0.3">
      <c r="B29" s="8"/>
      <c r="C29" s="19">
        <f>'6'!F23</f>
        <v>0</v>
      </c>
      <c r="D29" s="23">
        <f>'6'!G23</f>
        <v>0</v>
      </c>
      <c r="E29" s="10"/>
      <c r="F29" s="19">
        <f>'7'!F23</f>
        <v>0</v>
      </c>
      <c r="G29" s="23">
        <f>'7'!G23</f>
        <v>0</v>
      </c>
      <c r="H29" s="10"/>
      <c r="I29" s="132">
        <f>'8'!F23</f>
        <v>0</v>
      </c>
      <c r="J29" s="23">
        <f>'8'!G23</f>
        <v>0</v>
      </c>
      <c r="K29" s="10"/>
      <c r="L29" s="19">
        <f>'9'!F23</f>
        <v>0</v>
      </c>
      <c r="M29" s="23">
        <f>'9'!G23</f>
        <v>0</v>
      </c>
      <c r="N29" s="10"/>
      <c r="O29" s="19">
        <f>'10'!F23</f>
        <v>0</v>
      </c>
      <c r="P29" s="23">
        <f>'10'!G23</f>
        <v>0</v>
      </c>
      <c r="Q29" s="11"/>
    </row>
    <row r="30" spans="2:17" x14ac:dyDescent="0.3">
      <c r="B30" s="8"/>
      <c r="C30" s="19">
        <f>'6'!F24</f>
        <v>0</v>
      </c>
      <c r="D30" s="23">
        <f>'6'!G24</f>
        <v>0</v>
      </c>
      <c r="E30" s="10"/>
      <c r="F30" s="19">
        <f>'7'!F24</f>
        <v>0</v>
      </c>
      <c r="G30" s="23">
        <f>'7'!G24</f>
        <v>0</v>
      </c>
      <c r="H30" s="10"/>
      <c r="I30" s="132">
        <f>'8'!F24</f>
        <v>0</v>
      </c>
      <c r="J30" s="23">
        <f>'8'!G24</f>
        <v>0</v>
      </c>
      <c r="K30" s="10"/>
      <c r="L30" s="19">
        <f>'9'!F24</f>
        <v>0</v>
      </c>
      <c r="M30" s="23">
        <f>'9'!G24</f>
        <v>0</v>
      </c>
      <c r="N30" s="10"/>
      <c r="O30" s="19">
        <f>'10'!F24</f>
        <v>0</v>
      </c>
      <c r="P30" s="23">
        <f>'10'!G24</f>
        <v>0</v>
      </c>
      <c r="Q30" s="11"/>
    </row>
    <row r="31" spans="2:17" x14ac:dyDescent="0.3">
      <c r="B31" s="8"/>
      <c r="C31" s="19">
        <f>'6'!F25</f>
        <v>0</v>
      </c>
      <c r="D31" s="23">
        <f>'6'!G25</f>
        <v>0</v>
      </c>
      <c r="E31" s="10"/>
      <c r="F31" s="19">
        <f>'7'!F25</f>
        <v>0</v>
      </c>
      <c r="G31" s="23">
        <f>'7'!G25</f>
        <v>0</v>
      </c>
      <c r="H31" s="10"/>
      <c r="I31" s="132">
        <f>'8'!F25</f>
        <v>0</v>
      </c>
      <c r="J31" s="23">
        <f>'8'!G25</f>
        <v>0</v>
      </c>
      <c r="K31" s="10"/>
      <c r="L31" s="19">
        <f>'9'!F25</f>
        <v>0</v>
      </c>
      <c r="M31" s="23">
        <f>'9'!G25</f>
        <v>0</v>
      </c>
      <c r="N31" s="10"/>
      <c r="O31" s="19">
        <f>'10'!F25</f>
        <v>0</v>
      </c>
      <c r="P31" s="23">
        <f>'10'!G25</f>
        <v>0</v>
      </c>
      <c r="Q31" s="11"/>
    </row>
    <row r="32" spans="2:17" x14ac:dyDescent="0.3">
      <c r="B32" s="8"/>
      <c r="C32" s="19">
        <f>'6'!F26</f>
        <v>0</v>
      </c>
      <c r="D32" s="23">
        <f>'6'!G26</f>
        <v>0</v>
      </c>
      <c r="E32" s="10"/>
      <c r="F32" s="19">
        <f>'7'!F26</f>
        <v>0</v>
      </c>
      <c r="G32" s="23">
        <f>'7'!G26</f>
        <v>0</v>
      </c>
      <c r="H32" s="10"/>
      <c r="I32" s="132">
        <f>'8'!F26</f>
        <v>0</v>
      </c>
      <c r="J32" s="23">
        <f>'8'!G26</f>
        <v>0</v>
      </c>
      <c r="K32" s="10"/>
      <c r="L32" s="19">
        <f>'9'!F26</f>
        <v>0</v>
      </c>
      <c r="M32" s="23">
        <f>'9'!G26</f>
        <v>0</v>
      </c>
      <c r="N32" s="10"/>
      <c r="O32" s="19">
        <f>'10'!F26</f>
        <v>0</v>
      </c>
      <c r="P32" s="23">
        <f>'10'!G26</f>
        <v>0</v>
      </c>
      <c r="Q32" s="11"/>
    </row>
    <row r="33" spans="2:17" x14ac:dyDescent="0.3">
      <c r="B33" s="8"/>
      <c r="C33" s="19">
        <f>'6'!F27</f>
        <v>0</v>
      </c>
      <c r="D33" s="23">
        <f>'6'!G27</f>
        <v>0</v>
      </c>
      <c r="E33" s="10"/>
      <c r="F33" s="19">
        <f>'7'!F27</f>
        <v>0</v>
      </c>
      <c r="G33" s="23">
        <f>'7'!G27</f>
        <v>0</v>
      </c>
      <c r="H33" s="10"/>
      <c r="I33" s="132">
        <f>'8'!F27</f>
        <v>0</v>
      </c>
      <c r="J33" s="23">
        <f>'8'!G27</f>
        <v>0</v>
      </c>
      <c r="K33" s="10"/>
      <c r="L33" s="19">
        <f>'9'!F27</f>
        <v>0</v>
      </c>
      <c r="M33" s="23">
        <f>'9'!G27</f>
        <v>0</v>
      </c>
      <c r="N33" s="10"/>
      <c r="O33" s="19">
        <f>'10'!F27</f>
        <v>0</v>
      </c>
      <c r="P33" s="23">
        <f>'10'!G27</f>
        <v>0</v>
      </c>
      <c r="Q33" s="11"/>
    </row>
    <row r="34" spans="2:17" x14ac:dyDescent="0.3">
      <c r="B34" s="8"/>
      <c r="C34" s="19">
        <f>'6'!F28</f>
        <v>0</v>
      </c>
      <c r="D34" s="23">
        <f>'6'!G28</f>
        <v>0</v>
      </c>
      <c r="E34" s="10"/>
      <c r="F34" s="19">
        <f>'7'!F28</f>
        <v>0</v>
      </c>
      <c r="G34" s="23">
        <f>'7'!G28</f>
        <v>0</v>
      </c>
      <c r="H34" s="10"/>
      <c r="I34" s="132">
        <f>'8'!F28</f>
        <v>0</v>
      </c>
      <c r="J34" s="23">
        <f>'8'!G28</f>
        <v>0</v>
      </c>
      <c r="K34" s="10"/>
      <c r="L34" s="19">
        <f>'9'!F28</f>
        <v>0</v>
      </c>
      <c r="M34" s="23">
        <f>'9'!G28</f>
        <v>0</v>
      </c>
      <c r="N34" s="10"/>
      <c r="O34" s="19">
        <f>'10'!F28</f>
        <v>0</v>
      </c>
      <c r="P34" s="23">
        <f>'10'!G28</f>
        <v>0</v>
      </c>
      <c r="Q34" s="11"/>
    </row>
    <row r="35" spans="2:17" x14ac:dyDescent="0.3">
      <c r="B35" s="8"/>
      <c r="C35" s="19">
        <f>'6'!F29</f>
        <v>0</v>
      </c>
      <c r="D35" s="23">
        <f>'6'!G29</f>
        <v>0</v>
      </c>
      <c r="E35" s="10"/>
      <c r="F35" s="19">
        <f>'7'!F29</f>
        <v>0</v>
      </c>
      <c r="G35" s="23">
        <f>'7'!G29</f>
        <v>0</v>
      </c>
      <c r="H35" s="10"/>
      <c r="I35" s="132">
        <f>'8'!F29</f>
        <v>0</v>
      </c>
      <c r="J35" s="23">
        <f>'8'!G29</f>
        <v>0</v>
      </c>
      <c r="K35" s="10"/>
      <c r="L35" s="19">
        <f>'9'!F29</f>
        <v>0</v>
      </c>
      <c r="M35" s="23">
        <f>'9'!G29</f>
        <v>0</v>
      </c>
      <c r="N35" s="10"/>
      <c r="O35" s="19">
        <f>'10'!F29</f>
        <v>0</v>
      </c>
      <c r="P35" s="23">
        <f>'10'!G29</f>
        <v>0</v>
      </c>
      <c r="Q35" s="11"/>
    </row>
    <row r="36" spans="2:17" x14ac:dyDescent="0.3">
      <c r="B36" s="8"/>
      <c r="C36" s="19">
        <f>'6'!F30</f>
        <v>0</v>
      </c>
      <c r="D36" s="23">
        <f>'6'!G30</f>
        <v>0</v>
      </c>
      <c r="E36" s="10"/>
      <c r="F36" s="19">
        <f>'7'!F30</f>
        <v>0</v>
      </c>
      <c r="G36" s="23">
        <f>'7'!G30</f>
        <v>0</v>
      </c>
      <c r="H36" s="10"/>
      <c r="I36" s="132">
        <f>'8'!F30</f>
        <v>0</v>
      </c>
      <c r="J36" s="23">
        <f>'8'!G30</f>
        <v>0</v>
      </c>
      <c r="K36" s="10"/>
      <c r="L36" s="19">
        <f>'9'!F30</f>
        <v>0</v>
      </c>
      <c r="M36" s="23">
        <f>'9'!G30</f>
        <v>0</v>
      </c>
      <c r="N36" s="10"/>
      <c r="O36" s="19">
        <f>'10'!F30</f>
        <v>0</v>
      </c>
      <c r="P36" s="23">
        <f>'10'!G30</f>
        <v>0</v>
      </c>
      <c r="Q36" s="11"/>
    </row>
    <row r="37" spans="2:17" x14ac:dyDescent="0.3">
      <c r="B37" s="8"/>
      <c r="C37" s="19">
        <f>'6'!F31</f>
        <v>0</v>
      </c>
      <c r="D37" s="23">
        <f>'6'!G31</f>
        <v>0</v>
      </c>
      <c r="E37" s="10"/>
      <c r="F37" s="19">
        <f>'7'!F31</f>
        <v>0</v>
      </c>
      <c r="G37" s="23">
        <f>'7'!G31</f>
        <v>0</v>
      </c>
      <c r="H37" s="10"/>
      <c r="I37" s="132">
        <f>'8'!F31</f>
        <v>0</v>
      </c>
      <c r="J37" s="23">
        <f>'8'!G31</f>
        <v>0</v>
      </c>
      <c r="K37" s="10"/>
      <c r="L37" s="19">
        <f>'9'!F31</f>
        <v>0</v>
      </c>
      <c r="M37" s="23">
        <f>'9'!G31</f>
        <v>0</v>
      </c>
      <c r="N37" s="10"/>
      <c r="O37" s="19">
        <f>'10'!F31</f>
        <v>0</v>
      </c>
      <c r="P37" s="23">
        <f>'10'!G31</f>
        <v>0</v>
      </c>
      <c r="Q37" s="11"/>
    </row>
    <row r="38" spans="2:17" ht="12.9" thickBot="1" x14ac:dyDescent="0.35">
      <c r="B38" s="8"/>
      <c r="C38" s="130">
        <f>'6'!F32</f>
        <v>0</v>
      </c>
      <c r="D38" s="134">
        <f>'6'!G32</f>
        <v>0</v>
      </c>
      <c r="E38" s="10"/>
      <c r="F38" s="130">
        <f>'7'!F32</f>
        <v>0</v>
      </c>
      <c r="G38" s="134">
        <f>'7'!G32</f>
        <v>0</v>
      </c>
      <c r="H38" s="10"/>
      <c r="I38" s="135">
        <f>'8'!F32</f>
        <v>0</v>
      </c>
      <c r="J38" s="134">
        <f>'8'!G32</f>
        <v>0</v>
      </c>
      <c r="K38" s="10"/>
      <c r="L38" s="130">
        <f>'9'!F32</f>
        <v>0</v>
      </c>
      <c r="M38" s="134">
        <f>'9'!G32</f>
        <v>0</v>
      </c>
      <c r="N38" s="10"/>
      <c r="O38" s="130">
        <f>'10'!F32</f>
        <v>0</v>
      </c>
      <c r="P38" s="134">
        <f>'10'!G32</f>
        <v>0</v>
      </c>
      <c r="Q38" s="11"/>
    </row>
    <row r="39" spans="2:17" ht="12.9" thickBot="1" x14ac:dyDescent="0.35">
      <c r="B39" s="12"/>
      <c r="C39" s="13"/>
      <c r="D39" s="14"/>
      <c r="E39" s="15"/>
      <c r="F39" s="13"/>
      <c r="G39" s="14"/>
      <c r="H39" s="15"/>
      <c r="I39" s="13"/>
      <c r="J39" s="14"/>
      <c r="K39" s="15"/>
      <c r="L39" s="13"/>
      <c r="M39" s="14"/>
      <c r="N39" s="15"/>
      <c r="O39" s="13"/>
      <c r="P39" s="14"/>
      <c r="Q39" s="16"/>
    </row>
    <row r="40" spans="2:17" ht="12.9" thickBot="1" x14ac:dyDescent="0.35"/>
    <row r="41" spans="2:17" x14ac:dyDescent="0.3">
      <c r="C41" s="268" t="s">
        <v>165</v>
      </c>
      <c r="D41" s="269"/>
      <c r="E41" s="269"/>
      <c r="F41" s="269"/>
      <c r="G41" s="269"/>
      <c r="H41" s="269"/>
      <c r="I41" s="269"/>
      <c r="J41" s="269"/>
      <c r="K41" s="269"/>
      <c r="L41" s="269"/>
      <c r="M41" s="269"/>
      <c r="N41" s="269"/>
      <c r="O41" s="269"/>
      <c r="P41" s="270"/>
    </row>
    <row r="42" spans="2:17" x14ac:dyDescent="0.3">
      <c r="C42" s="271"/>
      <c r="D42" s="272"/>
      <c r="E42" s="272"/>
      <c r="F42" s="272"/>
      <c r="G42" s="272"/>
      <c r="H42" s="272"/>
      <c r="I42" s="272"/>
      <c r="J42" s="272"/>
      <c r="K42" s="272"/>
      <c r="L42" s="272"/>
      <c r="M42" s="272"/>
      <c r="N42" s="272"/>
      <c r="O42" s="272"/>
      <c r="P42" s="273"/>
    </row>
    <row r="43" spans="2:17" x14ac:dyDescent="0.3">
      <c r="C43" s="271"/>
      <c r="D43" s="272"/>
      <c r="E43" s="272"/>
      <c r="F43" s="272"/>
      <c r="G43" s="272"/>
      <c r="H43" s="272"/>
      <c r="I43" s="272"/>
      <c r="J43" s="272"/>
      <c r="K43" s="272"/>
      <c r="L43" s="272"/>
      <c r="M43" s="272"/>
      <c r="N43" s="272"/>
      <c r="O43" s="272"/>
      <c r="P43" s="273"/>
    </row>
    <row r="44" spans="2:17" x14ac:dyDescent="0.3">
      <c r="C44" s="271"/>
      <c r="D44" s="272"/>
      <c r="E44" s="272"/>
      <c r="F44" s="272"/>
      <c r="G44" s="272"/>
      <c r="H44" s="272"/>
      <c r="I44" s="272"/>
      <c r="J44" s="272"/>
      <c r="K44" s="272"/>
      <c r="L44" s="272"/>
      <c r="M44" s="272"/>
      <c r="N44" s="272"/>
      <c r="O44" s="272"/>
      <c r="P44" s="273"/>
    </row>
    <row r="45" spans="2:17" x14ac:dyDescent="0.3">
      <c r="C45" s="271"/>
      <c r="D45" s="272"/>
      <c r="E45" s="272"/>
      <c r="F45" s="272"/>
      <c r="G45" s="272"/>
      <c r="H45" s="272"/>
      <c r="I45" s="272"/>
      <c r="J45" s="272"/>
      <c r="K45" s="272"/>
      <c r="L45" s="272"/>
      <c r="M45" s="272"/>
      <c r="N45" s="272"/>
      <c r="O45" s="272"/>
      <c r="P45" s="273"/>
    </row>
    <row r="46" spans="2:17" x14ac:dyDescent="0.3">
      <c r="C46" s="271"/>
      <c r="D46" s="272"/>
      <c r="E46" s="272"/>
      <c r="F46" s="272"/>
      <c r="G46" s="272"/>
      <c r="H46" s="272"/>
      <c r="I46" s="272"/>
      <c r="J46" s="272"/>
      <c r="K46" s="272"/>
      <c r="L46" s="272"/>
      <c r="M46" s="272"/>
      <c r="N46" s="272"/>
      <c r="O46" s="272"/>
      <c r="P46" s="273"/>
    </row>
    <row r="47" spans="2:17" x14ac:dyDescent="0.3">
      <c r="C47" s="271"/>
      <c r="D47" s="272"/>
      <c r="E47" s="272"/>
      <c r="F47" s="272"/>
      <c r="G47" s="272"/>
      <c r="H47" s="272"/>
      <c r="I47" s="272"/>
      <c r="J47" s="272"/>
      <c r="K47" s="272"/>
      <c r="L47" s="272"/>
      <c r="M47" s="272"/>
      <c r="N47" s="272"/>
      <c r="O47" s="272"/>
      <c r="P47" s="273"/>
    </row>
    <row r="48" spans="2:17" x14ac:dyDescent="0.3">
      <c r="C48" s="271"/>
      <c r="D48" s="272"/>
      <c r="E48" s="272"/>
      <c r="F48" s="272"/>
      <c r="G48" s="272"/>
      <c r="H48" s="272"/>
      <c r="I48" s="272"/>
      <c r="J48" s="272"/>
      <c r="K48" s="272"/>
      <c r="L48" s="272"/>
      <c r="M48" s="272"/>
      <c r="N48" s="272"/>
      <c r="O48" s="272"/>
      <c r="P48" s="273"/>
    </row>
    <row r="49" spans="3:16" x14ac:dyDescent="0.3">
      <c r="C49" s="271"/>
      <c r="D49" s="272"/>
      <c r="E49" s="272"/>
      <c r="F49" s="272"/>
      <c r="G49" s="272"/>
      <c r="H49" s="272"/>
      <c r="I49" s="272"/>
      <c r="J49" s="272"/>
      <c r="K49" s="272"/>
      <c r="L49" s="272"/>
      <c r="M49" s="272"/>
      <c r="N49" s="272"/>
      <c r="O49" s="272"/>
      <c r="P49" s="273"/>
    </row>
    <row r="50" spans="3:16" x14ac:dyDescent="0.3">
      <c r="C50" s="271"/>
      <c r="D50" s="272"/>
      <c r="E50" s="272"/>
      <c r="F50" s="272"/>
      <c r="G50" s="272"/>
      <c r="H50" s="272"/>
      <c r="I50" s="272"/>
      <c r="J50" s="272"/>
      <c r="K50" s="272"/>
      <c r="L50" s="272"/>
      <c r="M50" s="272"/>
      <c r="N50" s="272"/>
      <c r="O50" s="272"/>
      <c r="P50" s="273"/>
    </row>
    <row r="51" spans="3:16" x14ac:dyDescent="0.3">
      <c r="C51" s="271"/>
      <c r="D51" s="272"/>
      <c r="E51" s="272"/>
      <c r="F51" s="272"/>
      <c r="G51" s="272"/>
      <c r="H51" s="272"/>
      <c r="I51" s="272"/>
      <c r="J51" s="272"/>
      <c r="K51" s="272"/>
      <c r="L51" s="272"/>
      <c r="M51" s="272"/>
      <c r="N51" s="272"/>
      <c r="O51" s="272"/>
      <c r="P51" s="273"/>
    </row>
    <row r="52" spans="3:16" x14ac:dyDescent="0.3">
      <c r="C52" s="271"/>
      <c r="D52" s="272"/>
      <c r="E52" s="272"/>
      <c r="F52" s="272"/>
      <c r="G52" s="272"/>
      <c r="H52" s="272"/>
      <c r="I52" s="272"/>
      <c r="J52" s="272"/>
      <c r="K52" s="272"/>
      <c r="L52" s="272"/>
      <c r="M52" s="272"/>
      <c r="N52" s="272"/>
      <c r="O52" s="272"/>
      <c r="P52" s="273"/>
    </row>
    <row r="53" spans="3:16" x14ac:dyDescent="0.3">
      <c r="C53" s="271"/>
      <c r="D53" s="272"/>
      <c r="E53" s="272"/>
      <c r="F53" s="272"/>
      <c r="G53" s="272"/>
      <c r="H53" s="272"/>
      <c r="I53" s="272"/>
      <c r="J53" s="272"/>
      <c r="K53" s="272"/>
      <c r="L53" s="272"/>
      <c r="M53" s="272"/>
      <c r="N53" s="272"/>
      <c r="O53" s="272"/>
      <c r="P53" s="273"/>
    </row>
    <row r="54" spans="3:16" ht="12.9" thickBot="1" x14ac:dyDescent="0.35">
      <c r="C54" s="274"/>
      <c r="D54" s="275"/>
      <c r="E54" s="275"/>
      <c r="F54" s="275"/>
      <c r="G54" s="275"/>
      <c r="H54" s="275"/>
      <c r="I54" s="275"/>
      <c r="J54" s="275"/>
      <c r="K54" s="275"/>
      <c r="L54" s="275"/>
      <c r="M54" s="275"/>
      <c r="N54" s="275"/>
      <c r="O54" s="275"/>
      <c r="P54" s="276"/>
    </row>
  </sheetData>
  <mergeCells count="11">
    <mergeCell ref="C41:P54"/>
    <mergeCell ref="O22:P22"/>
    <mergeCell ref="C22:D22"/>
    <mergeCell ref="I22:J22"/>
    <mergeCell ref="L22:M22"/>
    <mergeCell ref="F22:G22"/>
    <mergeCell ref="C3:D3"/>
    <mergeCell ref="F3:G3"/>
    <mergeCell ref="I3:J3"/>
    <mergeCell ref="L3:M3"/>
    <mergeCell ref="O3:P3"/>
  </mergeCells>
  <pageMargins left="0.25" right="0.25" top="0.25" bottom="0.25" header="0" footer="0"/>
  <pageSetup scale="74" orientation="landscape"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40DC-2EF8-40F3-ADDB-3F20978056F8}">
  <sheetPr codeName="Sheet12"/>
  <dimension ref="A1:AA44"/>
  <sheetViews>
    <sheetView zoomScale="110" zoomScaleNormal="110" workbookViewId="0">
      <selection activeCell="O48" sqref="O48"/>
    </sheetView>
  </sheetViews>
  <sheetFormatPr defaultRowHeight="12.45" x14ac:dyDescent="0.3"/>
  <cols>
    <col min="17" max="17" width="2.07421875" customWidth="1"/>
    <col min="18" max="18" width="12.4609375" customWidth="1"/>
    <col min="19" max="19" width="25" customWidth="1"/>
    <col min="20" max="20" width="8.23046875" customWidth="1"/>
    <col min="21" max="22" width="8.69140625" customWidth="1"/>
  </cols>
  <sheetData>
    <row r="1" spans="1:27" x14ac:dyDescent="0.3">
      <c r="A1" s="282"/>
      <c r="B1" s="282"/>
      <c r="C1" s="282"/>
      <c r="D1" s="282"/>
      <c r="E1" s="282"/>
      <c r="F1" s="282"/>
      <c r="G1" s="282"/>
      <c r="H1" s="282"/>
      <c r="I1" s="282"/>
      <c r="J1" s="282"/>
      <c r="K1" s="282"/>
      <c r="L1" s="282"/>
      <c r="M1" s="282"/>
      <c r="N1" s="282"/>
      <c r="O1" s="282"/>
      <c r="P1" s="282"/>
    </row>
    <row r="2" spans="1:27" x14ac:dyDescent="0.3">
      <c r="A2" s="282"/>
      <c r="B2" s="282"/>
      <c r="C2" s="282"/>
      <c r="D2" s="282"/>
      <c r="E2" s="282"/>
      <c r="F2" s="282"/>
      <c r="G2" s="282"/>
      <c r="H2" s="282"/>
      <c r="I2" s="282"/>
      <c r="J2" s="282"/>
      <c r="K2" s="282"/>
      <c r="L2" s="282"/>
      <c r="M2" s="282"/>
      <c r="N2" s="282"/>
      <c r="O2" s="282"/>
      <c r="P2" s="282"/>
      <c r="R2" s="279"/>
      <c r="S2" s="279"/>
      <c r="T2" s="279"/>
      <c r="U2" s="279"/>
      <c r="V2" s="176"/>
    </row>
    <row r="3" spans="1:27" ht="12.9" thickBot="1" x14ac:dyDescent="0.35">
      <c r="A3" s="282"/>
      <c r="B3" s="282"/>
      <c r="C3" s="282"/>
      <c r="D3" s="282"/>
      <c r="E3" s="282"/>
      <c r="F3" s="282"/>
      <c r="G3" s="282"/>
      <c r="H3" s="282"/>
      <c r="I3" s="282"/>
      <c r="J3" s="282"/>
      <c r="K3" s="282"/>
      <c r="L3" s="282"/>
      <c r="M3" s="282"/>
      <c r="N3" s="282"/>
      <c r="O3" s="282"/>
      <c r="P3" s="282"/>
      <c r="R3" s="110"/>
    </row>
    <row r="4" spans="1:27" ht="15.45" thickBot="1" x14ac:dyDescent="0.5">
      <c r="A4" s="282"/>
      <c r="B4" s="282"/>
      <c r="C4" s="282"/>
      <c r="D4" s="282"/>
      <c r="E4" s="282"/>
      <c r="F4" s="282"/>
      <c r="G4" s="282"/>
      <c r="H4" s="282"/>
      <c r="I4" s="282"/>
      <c r="J4" s="282"/>
      <c r="K4" s="282"/>
      <c r="L4" s="282"/>
      <c r="M4" s="282"/>
      <c r="N4" s="282"/>
      <c r="O4" s="282"/>
      <c r="P4" s="282"/>
      <c r="R4" s="280" t="s">
        <v>172</v>
      </c>
      <c r="S4" s="281"/>
      <c r="T4" s="111" t="s">
        <v>175</v>
      </c>
      <c r="U4" s="112" t="s">
        <v>176</v>
      </c>
      <c r="V4" s="112" t="s">
        <v>178</v>
      </c>
      <c r="W4" s="177" t="s">
        <v>177</v>
      </c>
      <c r="X4" s="178" t="s">
        <v>179</v>
      </c>
      <c r="Y4" s="178" t="s">
        <v>180</v>
      </c>
      <c r="Z4" s="178" t="s">
        <v>101</v>
      </c>
      <c r="AA4" s="178" t="s">
        <v>181</v>
      </c>
    </row>
    <row r="5" spans="1:27" ht="15" thickBot="1" x14ac:dyDescent="0.45">
      <c r="A5" s="282"/>
      <c r="B5" s="282"/>
      <c r="C5" s="282"/>
      <c r="D5" s="282"/>
      <c r="E5" s="282"/>
      <c r="F5" s="282"/>
      <c r="G5" s="282"/>
      <c r="H5" s="282"/>
      <c r="I5" s="282"/>
      <c r="J5" s="282"/>
      <c r="K5" s="282"/>
      <c r="L5" s="282"/>
      <c r="M5" s="282"/>
      <c r="N5" s="282"/>
      <c r="O5" s="282"/>
      <c r="P5" s="282"/>
      <c r="R5" s="117" t="str">
        <f>'1'!B2</f>
        <v>010119</v>
      </c>
      <c r="S5" s="113">
        <f>'1'!C2</f>
        <v>-1</v>
      </c>
      <c r="T5" s="216">
        <f>'1'!$B$7</f>
        <v>3.4097786153597855</v>
      </c>
      <c r="U5" s="217">
        <f>'1'!$C$7</f>
        <v>0.46921671262475573</v>
      </c>
      <c r="V5" s="216">
        <f>'1'!$B$5</f>
        <v>7.2669590055430744</v>
      </c>
      <c r="W5" s="216">
        <f>'1'!$B$9</f>
        <v>0</v>
      </c>
      <c r="X5" s="216">
        <f>'1'!$D$5</f>
        <v>0.29554776132288957</v>
      </c>
      <c r="Y5" s="216">
        <f>'1'!$F$5</f>
        <v>0.7044522386771106</v>
      </c>
      <c r="Z5" s="179">
        <f>'1'!$G$3</f>
        <v>10</v>
      </c>
      <c r="AA5" s="182">
        <f>'1'!$Y$59</f>
        <v>1305</v>
      </c>
    </row>
    <row r="6" spans="1:27" ht="15" thickBot="1" x14ac:dyDescent="0.45">
      <c r="A6" s="282"/>
      <c r="B6" s="282"/>
      <c r="C6" s="282"/>
      <c r="D6" s="282"/>
      <c r="E6" s="282"/>
      <c r="F6" s="282"/>
      <c r="G6" s="282"/>
      <c r="H6" s="282"/>
      <c r="I6" s="282"/>
      <c r="J6" s="282"/>
      <c r="K6" s="282"/>
      <c r="L6" s="282"/>
      <c r="M6" s="282"/>
      <c r="N6" s="282"/>
      <c r="O6" s="282"/>
      <c r="P6" s="282"/>
      <c r="R6" s="117" t="str">
        <f>'2'!B2</f>
        <v>010119</v>
      </c>
      <c r="S6" s="113">
        <f>'2'!C2</f>
        <v>-2</v>
      </c>
      <c r="T6" s="218">
        <f>'2'!$B$7</f>
        <v>3.4097786153597838</v>
      </c>
      <c r="U6" s="219">
        <f>'2'!$C$7</f>
        <v>0.51193636553371491</v>
      </c>
      <c r="V6" s="218">
        <f>'2'!$B$5</f>
        <v>6.6605516718956821</v>
      </c>
      <c r="W6" s="218">
        <f>'2'!$B$9</f>
        <v>0</v>
      </c>
      <c r="X6" s="218">
        <f>'2'!$D$5</f>
        <v>0.29554776132288946</v>
      </c>
      <c r="Y6" s="218">
        <f>'2'!$F$5</f>
        <v>0.7044522386771106</v>
      </c>
      <c r="Z6" s="180">
        <f>'2'!$G$3</f>
        <v>10</v>
      </c>
      <c r="AA6" s="183">
        <f>'2'!$Y$59</f>
        <v>1305</v>
      </c>
    </row>
    <row r="7" spans="1:27" ht="15" thickBot="1" x14ac:dyDescent="0.45">
      <c r="A7" s="282"/>
      <c r="B7" s="282"/>
      <c r="C7" s="282"/>
      <c r="D7" s="282"/>
      <c r="E7" s="282"/>
      <c r="F7" s="282"/>
      <c r="G7" s="282"/>
      <c r="H7" s="282"/>
      <c r="I7" s="282"/>
      <c r="J7" s="282"/>
      <c r="K7" s="282"/>
      <c r="L7" s="282"/>
      <c r="M7" s="282"/>
      <c r="N7" s="282"/>
      <c r="O7" s="282"/>
      <c r="P7" s="282"/>
      <c r="R7" s="117" t="str">
        <f>'3'!B2</f>
        <v>010119</v>
      </c>
      <c r="S7" s="113">
        <f>'3'!C2</f>
        <v>-3</v>
      </c>
      <c r="T7" s="218">
        <f>'3'!$B$7</f>
        <v>3.4097786153597855</v>
      </c>
      <c r="U7" s="219">
        <f>'3'!$C$7</f>
        <v>0.55465601844267443</v>
      </c>
      <c r="V7" s="218">
        <f>'3'!$B$5</f>
        <v>6.1475554253130271</v>
      </c>
      <c r="W7" s="218">
        <f>'3'!$B$9</f>
        <v>0</v>
      </c>
      <c r="X7" s="218">
        <f>'3'!$D$5</f>
        <v>0.29554776132288951</v>
      </c>
      <c r="Y7" s="218">
        <f>'3'!$F$5</f>
        <v>0.7044522386771106</v>
      </c>
      <c r="Z7" s="180">
        <f>'3'!$G$3</f>
        <v>10</v>
      </c>
      <c r="AA7" s="183">
        <f>'3'!$Y$59</f>
        <v>1305</v>
      </c>
    </row>
    <row r="8" spans="1:27" ht="15" thickBot="1" x14ac:dyDescent="0.45">
      <c r="A8" s="282"/>
      <c r="B8" s="282"/>
      <c r="C8" s="282"/>
      <c r="D8" s="282"/>
      <c r="E8" s="282"/>
      <c r="F8" s="282"/>
      <c r="G8" s="282"/>
      <c r="H8" s="282"/>
      <c r="I8" s="282"/>
      <c r="J8" s="282"/>
      <c r="K8" s="282"/>
      <c r="L8" s="282"/>
      <c r="M8" s="282"/>
      <c r="N8" s="282"/>
      <c r="O8" s="282"/>
      <c r="P8" s="282"/>
      <c r="R8" s="117" t="str">
        <f>'4'!B2</f>
        <v>010119</v>
      </c>
      <c r="S8" s="113">
        <f>'4'!C2</f>
        <v>-4</v>
      </c>
      <c r="T8" s="218">
        <f>'4'!$B$7</f>
        <v>3.4097786153597851</v>
      </c>
      <c r="U8" s="219">
        <f>'4'!$C$7</f>
        <v>0.59737567135163361</v>
      </c>
      <c r="V8" s="218">
        <f>'4'!$B$5</f>
        <v>5.7079301666985449</v>
      </c>
      <c r="W8" s="218">
        <f>'4'!$B$9</f>
        <v>0</v>
      </c>
      <c r="X8" s="218">
        <f>'4'!$D$5</f>
        <v>0.29554776132288951</v>
      </c>
      <c r="Y8" s="218">
        <f>'4'!$F$5</f>
        <v>0.7044522386771106</v>
      </c>
      <c r="Z8" s="180">
        <f>'4'!$G$3</f>
        <v>10</v>
      </c>
      <c r="AA8" s="183">
        <f>'4'!$Y$59</f>
        <v>1305</v>
      </c>
    </row>
    <row r="9" spans="1:27" ht="15" thickBot="1" x14ac:dyDescent="0.45">
      <c r="A9" s="282"/>
      <c r="B9" s="282"/>
      <c r="C9" s="282"/>
      <c r="D9" s="282"/>
      <c r="E9" s="282"/>
      <c r="F9" s="282"/>
      <c r="G9" s="282"/>
      <c r="H9" s="282"/>
      <c r="I9" s="282"/>
      <c r="J9" s="282"/>
      <c r="K9" s="282"/>
      <c r="L9" s="282"/>
      <c r="M9" s="282"/>
      <c r="N9" s="282"/>
      <c r="O9" s="282"/>
      <c r="P9" s="282"/>
      <c r="R9" s="117" t="str">
        <f>'5'!B2</f>
        <v>010119</v>
      </c>
      <c r="S9" s="113">
        <f>'5'!C2</f>
        <v>-5</v>
      </c>
      <c r="T9" s="218">
        <f>'5'!$B$7</f>
        <v>3.4097786153597851</v>
      </c>
      <c r="U9" s="219">
        <f>'5'!$C$7</f>
        <v>0.64009532426059279</v>
      </c>
      <c r="V9" s="218">
        <f>'5'!$B$5</f>
        <v>5.3269856631097827</v>
      </c>
      <c r="W9" s="218">
        <f>'5'!$B$9</f>
        <v>0</v>
      </c>
      <c r="X9" s="218">
        <f>'5'!$D$5</f>
        <v>0.2955477613228894</v>
      </c>
      <c r="Y9" s="218">
        <f>'5'!$F$5</f>
        <v>0.7044522386771106</v>
      </c>
      <c r="Z9" s="180">
        <f>'5'!$G$3</f>
        <v>10</v>
      </c>
      <c r="AA9" s="183">
        <f>'5'!$Y$59</f>
        <v>1305</v>
      </c>
    </row>
    <row r="10" spans="1:27" ht="15" thickBot="1" x14ac:dyDescent="0.45">
      <c r="A10" s="282"/>
      <c r="B10" s="282"/>
      <c r="C10" s="282"/>
      <c r="D10" s="282"/>
      <c r="E10" s="282"/>
      <c r="F10" s="282"/>
      <c r="G10" s="282"/>
      <c r="H10" s="282"/>
      <c r="I10" s="282"/>
      <c r="J10" s="282"/>
      <c r="K10" s="282"/>
      <c r="L10" s="282"/>
      <c r="M10" s="282"/>
      <c r="N10" s="282"/>
      <c r="O10" s="282"/>
      <c r="P10" s="282"/>
      <c r="R10" s="117" t="str">
        <f>'6'!B2</f>
        <v>010119</v>
      </c>
      <c r="S10" s="113">
        <f>'6'!C2</f>
        <v>-6</v>
      </c>
      <c r="T10" s="218">
        <f>'6'!$B$7</f>
        <v>3.4097786153597847</v>
      </c>
      <c r="U10" s="219">
        <f>'6'!$C$7</f>
        <v>0.6828149771695522</v>
      </c>
      <c r="V10" s="218">
        <f>'6'!$B$5</f>
        <v>4.9937080019747286</v>
      </c>
      <c r="W10" s="218">
        <f>'6'!$B$9</f>
        <v>0</v>
      </c>
      <c r="X10" s="218">
        <f>'6'!$D$5</f>
        <v>0.2955477613228894</v>
      </c>
      <c r="Y10" s="218">
        <f>'6'!$F$5</f>
        <v>0.7044522386771106</v>
      </c>
      <c r="Z10" s="180">
        <f>'6'!$G$3</f>
        <v>10</v>
      </c>
      <c r="AA10" s="183">
        <f>'6'!$Y$59</f>
        <v>1305</v>
      </c>
    </row>
    <row r="11" spans="1:27" ht="15" thickBot="1" x14ac:dyDescent="0.45">
      <c r="A11" s="282"/>
      <c r="B11" s="282"/>
      <c r="C11" s="282"/>
      <c r="D11" s="282"/>
      <c r="E11" s="282"/>
      <c r="F11" s="282"/>
      <c r="G11" s="282"/>
      <c r="H11" s="282"/>
      <c r="I11" s="282"/>
      <c r="J11" s="282"/>
      <c r="K11" s="282"/>
      <c r="L11" s="282"/>
      <c r="M11" s="282"/>
      <c r="N11" s="282"/>
      <c r="O11" s="282"/>
      <c r="P11" s="282"/>
      <c r="R11" s="117" t="str">
        <f>'7'!B2</f>
        <v>010119</v>
      </c>
      <c r="S11" s="113">
        <f>'7'!C2</f>
        <v>-7</v>
      </c>
      <c r="T11" s="218">
        <f>'7'!$B$7</f>
        <v>3.4097786153597847</v>
      </c>
      <c r="U11" s="219">
        <f>'7'!$C$7</f>
        <v>0.72553463007851127</v>
      </c>
      <c r="V11" s="218">
        <f>'7'!$B$5</f>
        <v>4.6996772779692222</v>
      </c>
      <c r="W11" s="218">
        <f>'7'!$B$9</f>
        <v>0</v>
      </c>
      <c r="X11" s="218">
        <f>'7'!$D$5</f>
        <v>0.2955477613228894</v>
      </c>
      <c r="Y11" s="218">
        <f>'7'!$F$5</f>
        <v>0.7044522386771106</v>
      </c>
      <c r="Z11" s="180">
        <f>'7'!$G$3</f>
        <v>10</v>
      </c>
      <c r="AA11" s="183">
        <f>'7'!$Y$59</f>
        <v>1305</v>
      </c>
    </row>
    <row r="12" spans="1:27" ht="15" thickBot="1" x14ac:dyDescent="0.45">
      <c r="A12" s="282"/>
      <c r="B12" s="282"/>
      <c r="C12" s="282"/>
      <c r="D12" s="282"/>
      <c r="E12" s="282"/>
      <c r="F12" s="282"/>
      <c r="G12" s="282"/>
      <c r="H12" s="282"/>
      <c r="I12" s="282"/>
      <c r="J12" s="282"/>
      <c r="K12" s="282"/>
      <c r="L12" s="282"/>
      <c r="M12" s="282"/>
      <c r="N12" s="282"/>
      <c r="O12" s="282"/>
      <c r="P12" s="282"/>
      <c r="R12" s="117" t="str">
        <f>'8'!B2</f>
        <v>010119</v>
      </c>
      <c r="S12" s="113">
        <f>'8'!C2</f>
        <v>-8</v>
      </c>
      <c r="T12" s="218">
        <f>'8'!$B$7</f>
        <v>3.4097786153597851</v>
      </c>
      <c r="U12" s="219">
        <f>'8'!$C$7</f>
        <v>0.76825428298747089</v>
      </c>
      <c r="V12" s="218">
        <f>'8'!$B$5</f>
        <v>4.4383463794049467</v>
      </c>
      <c r="W12" s="218">
        <f>'8'!$B$9</f>
        <v>0</v>
      </c>
      <c r="X12" s="218">
        <f>'8'!$D$5</f>
        <v>0.29554776132288946</v>
      </c>
      <c r="Y12" s="218">
        <f>'8'!$F$5</f>
        <v>0.70445223867711071</v>
      </c>
      <c r="Z12" s="180">
        <f>'8'!$G$3</f>
        <v>10</v>
      </c>
      <c r="AA12" s="183">
        <f>'8'!$Y$59</f>
        <v>1305</v>
      </c>
    </row>
    <row r="13" spans="1:27" ht="15" thickBot="1" x14ac:dyDescent="0.45">
      <c r="A13" s="282"/>
      <c r="B13" s="282"/>
      <c r="C13" s="282"/>
      <c r="D13" s="282"/>
      <c r="E13" s="282"/>
      <c r="F13" s="282"/>
      <c r="G13" s="282"/>
      <c r="H13" s="282"/>
      <c r="I13" s="282"/>
      <c r="J13" s="282"/>
      <c r="K13" s="282"/>
      <c r="L13" s="282"/>
      <c r="M13" s="282"/>
      <c r="N13" s="282"/>
      <c r="O13" s="282"/>
      <c r="P13" s="282"/>
      <c r="R13" s="117" t="str">
        <f>'9'!B2</f>
        <v>010119</v>
      </c>
      <c r="S13" s="113">
        <f>'9'!C2</f>
        <v>-9</v>
      </c>
      <c r="T13" s="218">
        <f>'9'!$B$7</f>
        <v>3.4097786153597855</v>
      </c>
      <c r="U13" s="219">
        <f>'9'!$C$7</f>
        <v>0.8109739358964303</v>
      </c>
      <c r="V13" s="218">
        <f>'9'!$B$5</f>
        <v>4.2045477227214478</v>
      </c>
      <c r="W13" s="218">
        <f>'9'!$B$9</f>
        <v>0</v>
      </c>
      <c r="X13" s="218">
        <f>'9'!$D$5</f>
        <v>0.2955477613228894</v>
      </c>
      <c r="Y13" s="218">
        <f>'9'!$F$5</f>
        <v>0.7044522386771106</v>
      </c>
      <c r="Z13" s="180">
        <f>'9'!$G$3</f>
        <v>10</v>
      </c>
      <c r="AA13" s="183">
        <f>'9'!$Y$59</f>
        <v>1305</v>
      </c>
    </row>
    <row r="14" spans="1:27" ht="15" thickBot="1" x14ac:dyDescent="0.45">
      <c r="A14" s="282"/>
      <c r="B14" s="282"/>
      <c r="C14" s="282"/>
      <c r="D14" s="282"/>
      <c r="E14" s="282"/>
      <c r="F14" s="282"/>
      <c r="G14" s="282"/>
      <c r="H14" s="282"/>
      <c r="I14" s="282"/>
      <c r="J14" s="282"/>
      <c r="K14" s="282"/>
      <c r="L14" s="282"/>
      <c r="M14" s="282"/>
      <c r="N14" s="282"/>
      <c r="O14" s="282"/>
      <c r="P14" s="282"/>
      <c r="R14" s="125" t="str">
        <f>'10'!B2</f>
        <v>010119</v>
      </c>
      <c r="S14" s="124">
        <f>'10'!C2</f>
        <v>-10</v>
      </c>
      <c r="T14" s="220">
        <f>'10'!$B$7</f>
        <v>3.409778615359786</v>
      </c>
      <c r="U14" s="221">
        <f>'10'!$C$7</f>
        <v>0.8536935888053897</v>
      </c>
      <c r="V14" s="220">
        <f>'10'!$B$5</f>
        <v>3.9941480878768649</v>
      </c>
      <c r="W14" s="220">
        <f>'10'!$B$9</f>
        <v>0</v>
      </c>
      <c r="X14" s="220">
        <f>'10'!$D$5</f>
        <v>0.29554776132288951</v>
      </c>
      <c r="Y14" s="220">
        <f>'10'!$F$5</f>
        <v>0.70445223867711071</v>
      </c>
      <c r="Z14" s="181">
        <f>'10'!$G$3</f>
        <v>10</v>
      </c>
      <c r="AA14" s="184">
        <f>'10'!$Y$59</f>
        <v>1305</v>
      </c>
    </row>
    <row r="15" spans="1:27" x14ac:dyDescent="0.3">
      <c r="A15" s="282"/>
      <c r="B15" s="282"/>
      <c r="C15" s="282"/>
      <c r="D15" s="282"/>
      <c r="E15" s="282"/>
      <c r="F15" s="282"/>
      <c r="G15" s="282"/>
      <c r="H15" s="282"/>
      <c r="I15" s="282"/>
      <c r="J15" s="282"/>
      <c r="K15" s="282"/>
      <c r="L15" s="282"/>
      <c r="M15" s="282"/>
      <c r="N15" s="282"/>
      <c r="O15" s="282"/>
      <c r="P15" s="282"/>
    </row>
    <row r="16" spans="1:27" x14ac:dyDescent="0.3">
      <c r="A16" s="282"/>
      <c r="B16" s="282"/>
      <c r="C16" s="282"/>
      <c r="D16" s="282"/>
      <c r="E16" s="282"/>
      <c r="F16" s="282"/>
      <c r="G16" s="282"/>
      <c r="H16" s="282"/>
      <c r="I16" s="282"/>
      <c r="J16" s="282"/>
      <c r="K16" s="282"/>
      <c r="L16" s="282"/>
      <c r="M16" s="282"/>
      <c r="N16" s="282"/>
      <c r="O16" s="282"/>
      <c r="P16" s="282"/>
      <c r="T16" t="s">
        <v>173</v>
      </c>
    </row>
    <row r="17" spans="1:23" x14ac:dyDescent="0.3">
      <c r="A17" s="282"/>
      <c r="B17" s="282"/>
      <c r="C17" s="282"/>
      <c r="D17" s="282"/>
      <c r="E17" s="282"/>
      <c r="F17" s="282"/>
      <c r="G17" s="282"/>
      <c r="H17" s="282"/>
      <c r="I17" s="282"/>
      <c r="J17" s="282"/>
      <c r="K17" s="282"/>
      <c r="L17" s="282"/>
      <c r="M17" s="282"/>
      <c r="N17" s="282"/>
      <c r="O17" s="282"/>
      <c r="P17" s="282"/>
    </row>
    <row r="18" spans="1:23" x14ac:dyDescent="0.3">
      <c r="A18" s="282"/>
      <c r="B18" s="282"/>
      <c r="C18" s="282"/>
      <c r="D18" s="282"/>
      <c r="E18" s="282"/>
      <c r="F18" s="282"/>
      <c r="G18" s="282"/>
      <c r="H18" s="282"/>
      <c r="I18" s="282"/>
      <c r="J18" s="282"/>
      <c r="K18" s="282"/>
      <c r="L18" s="282"/>
      <c r="M18" s="282"/>
      <c r="N18" s="282"/>
      <c r="O18" s="282"/>
      <c r="P18" s="282"/>
    </row>
    <row r="19" spans="1:23" x14ac:dyDescent="0.3">
      <c r="A19" s="282"/>
      <c r="B19" s="282"/>
      <c r="C19" s="282"/>
      <c r="D19" s="282"/>
      <c r="E19" s="282"/>
      <c r="F19" s="282"/>
      <c r="G19" s="282"/>
      <c r="H19" s="282"/>
      <c r="I19" s="282"/>
      <c r="J19" s="282"/>
      <c r="K19" s="282"/>
      <c r="L19" s="282"/>
      <c r="M19" s="282"/>
      <c r="N19" s="282"/>
      <c r="O19" s="282"/>
      <c r="P19" s="282"/>
      <c r="T19" s="114"/>
      <c r="U19" s="114"/>
      <c r="V19" s="114"/>
    </row>
    <row r="20" spans="1:23" x14ac:dyDescent="0.3">
      <c r="A20" s="282"/>
      <c r="B20" s="282"/>
      <c r="C20" s="282"/>
      <c r="D20" s="282"/>
      <c r="E20" s="282"/>
      <c r="F20" s="282"/>
      <c r="G20" s="282"/>
      <c r="H20" s="282"/>
      <c r="I20" s="282"/>
      <c r="J20" s="282"/>
      <c r="K20" s="282"/>
      <c r="L20" s="282"/>
      <c r="M20" s="282"/>
      <c r="N20" s="282"/>
      <c r="O20" s="282"/>
      <c r="P20" s="282"/>
      <c r="T20" s="115"/>
      <c r="U20" s="115"/>
      <c r="V20" s="115"/>
      <c r="W20" s="116"/>
    </row>
    <row r="21" spans="1:23" x14ac:dyDescent="0.3">
      <c r="A21" s="282"/>
      <c r="B21" s="282"/>
      <c r="C21" s="282"/>
      <c r="D21" s="282"/>
      <c r="E21" s="282"/>
      <c r="F21" s="282"/>
      <c r="G21" s="282"/>
      <c r="H21" s="282"/>
      <c r="I21" s="282"/>
      <c r="J21" s="282"/>
      <c r="K21" s="282"/>
      <c r="L21" s="282"/>
      <c r="M21" s="282"/>
      <c r="N21" s="282"/>
      <c r="O21" s="282"/>
      <c r="P21" s="282"/>
      <c r="T21" s="115"/>
      <c r="U21" s="115"/>
      <c r="V21" s="115"/>
      <c r="W21" s="116"/>
    </row>
    <row r="22" spans="1:23" x14ac:dyDescent="0.3">
      <c r="A22" s="282"/>
      <c r="B22" s="282"/>
      <c r="C22" s="282"/>
      <c r="D22" s="282"/>
      <c r="E22" s="282"/>
      <c r="F22" s="282"/>
      <c r="G22" s="282"/>
      <c r="H22" s="282"/>
      <c r="I22" s="282"/>
      <c r="J22" s="282"/>
      <c r="K22" s="282"/>
      <c r="L22" s="282"/>
      <c r="M22" s="282"/>
      <c r="N22" s="282"/>
      <c r="O22" s="282"/>
      <c r="P22" s="282"/>
      <c r="T22" s="115"/>
      <c r="U22" s="115"/>
      <c r="V22" s="115"/>
      <c r="W22" s="116"/>
    </row>
    <row r="23" spans="1:23" x14ac:dyDescent="0.3">
      <c r="A23" s="282"/>
      <c r="B23" s="282"/>
      <c r="C23" s="282"/>
      <c r="D23" s="282"/>
      <c r="E23" s="282"/>
      <c r="F23" s="282"/>
      <c r="G23" s="282"/>
      <c r="H23" s="282"/>
      <c r="I23" s="282"/>
      <c r="J23" s="282"/>
      <c r="K23" s="282"/>
      <c r="L23" s="282"/>
      <c r="M23" s="282"/>
      <c r="N23" s="282"/>
      <c r="O23" s="282"/>
      <c r="P23" s="282"/>
      <c r="T23" s="115"/>
      <c r="U23" s="115"/>
      <c r="V23" s="115"/>
      <c r="W23" s="116"/>
    </row>
    <row r="24" spans="1:23" x14ac:dyDescent="0.3">
      <c r="A24" s="282"/>
      <c r="B24" s="282"/>
      <c r="C24" s="282"/>
      <c r="D24" s="282"/>
      <c r="E24" s="282"/>
      <c r="F24" s="282"/>
      <c r="G24" s="282"/>
      <c r="H24" s="282"/>
      <c r="I24" s="282"/>
      <c r="J24" s="282"/>
      <c r="K24" s="282"/>
      <c r="L24" s="282"/>
      <c r="M24" s="282"/>
      <c r="N24" s="282"/>
      <c r="O24" s="282"/>
      <c r="P24" s="282"/>
      <c r="T24" s="115"/>
      <c r="U24" s="115"/>
      <c r="V24" s="115"/>
      <c r="W24" s="116"/>
    </row>
    <row r="25" spans="1:23" x14ac:dyDescent="0.3">
      <c r="A25" s="282"/>
      <c r="B25" s="282"/>
      <c r="C25" s="282"/>
      <c r="D25" s="282"/>
      <c r="E25" s="282"/>
      <c r="F25" s="282"/>
      <c r="G25" s="282"/>
      <c r="H25" s="282"/>
      <c r="I25" s="282"/>
      <c r="J25" s="282"/>
      <c r="K25" s="282"/>
      <c r="L25" s="282"/>
      <c r="M25" s="282"/>
      <c r="N25" s="282"/>
      <c r="O25" s="282"/>
      <c r="P25" s="282"/>
      <c r="T25" s="115"/>
      <c r="U25" s="115"/>
      <c r="V25" s="115"/>
      <c r="W25" s="116"/>
    </row>
    <row r="26" spans="1:23" x14ac:dyDescent="0.3">
      <c r="A26" s="282"/>
      <c r="B26" s="282"/>
      <c r="C26" s="282"/>
      <c r="D26" s="282"/>
      <c r="E26" s="282"/>
      <c r="F26" s="282"/>
      <c r="G26" s="282"/>
      <c r="H26" s="282"/>
      <c r="I26" s="282"/>
      <c r="J26" s="282"/>
      <c r="K26" s="282"/>
      <c r="L26" s="282"/>
      <c r="M26" s="282"/>
      <c r="N26" s="282"/>
      <c r="O26" s="282"/>
      <c r="P26" s="282"/>
      <c r="T26" s="115"/>
      <c r="U26" s="115"/>
      <c r="V26" s="115"/>
      <c r="W26" s="116"/>
    </row>
    <row r="27" spans="1:23" x14ac:dyDescent="0.3">
      <c r="A27" s="282"/>
      <c r="B27" s="282"/>
      <c r="C27" s="282"/>
      <c r="D27" s="282"/>
      <c r="E27" s="282"/>
      <c r="F27" s="282"/>
      <c r="G27" s="282"/>
      <c r="H27" s="282"/>
      <c r="I27" s="282"/>
      <c r="J27" s="282"/>
      <c r="K27" s="282"/>
      <c r="L27" s="282"/>
      <c r="M27" s="282"/>
      <c r="N27" s="282"/>
      <c r="O27" s="282"/>
      <c r="P27" s="282"/>
      <c r="T27" s="115"/>
      <c r="U27" s="115"/>
      <c r="V27" s="115"/>
      <c r="W27" s="116"/>
    </row>
    <row r="28" spans="1:23" x14ac:dyDescent="0.3">
      <c r="A28" s="282"/>
      <c r="B28" s="282"/>
      <c r="C28" s="282"/>
      <c r="D28" s="282"/>
      <c r="E28" s="282"/>
      <c r="F28" s="282"/>
      <c r="G28" s="282"/>
      <c r="H28" s="282"/>
      <c r="I28" s="282"/>
      <c r="J28" s="282"/>
      <c r="K28" s="282"/>
      <c r="L28" s="282"/>
      <c r="M28" s="282"/>
      <c r="N28" s="282"/>
      <c r="O28" s="282"/>
      <c r="P28" s="282"/>
      <c r="T28" s="115"/>
      <c r="U28" s="115"/>
      <c r="V28" s="115"/>
      <c r="W28" s="116"/>
    </row>
    <row r="29" spans="1:23" x14ac:dyDescent="0.3">
      <c r="A29" s="282"/>
      <c r="B29" s="282"/>
      <c r="C29" s="282"/>
      <c r="D29" s="282"/>
      <c r="E29" s="282"/>
      <c r="F29" s="282"/>
      <c r="G29" s="282"/>
      <c r="H29" s="282"/>
      <c r="I29" s="282"/>
      <c r="J29" s="282"/>
      <c r="K29" s="282"/>
      <c r="L29" s="282"/>
      <c r="M29" s="282"/>
      <c r="N29" s="282"/>
      <c r="O29" s="282"/>
      <c r="P29" s="282"/>
      <c r="T29" s="115"/>
      <c r="U29" s="115"/>
      <c r="V29" s="115"/>
      <c r="W29" s="116"/>
    </row>
    <row r="30" spans="1:23" x14ac:dyDescent="0.3">
      <c r="A30" s="282"/>
      <c r="B30" s="282"/>
      <c r="C30" s="282"/>
      <c r="D30" s="282"/>
      <c r="E30" s="282"/>
      <c r="F30" s="282"/>
      <c r="G30" s="282"/>
      <c r="H30" s="282"/>
      <c r="I30" s="282"/>
      <c r="J30" s="282"/>
      <c r="K30" s="282"/>
      <c r="L30" s="282"/>
      <c r="M30" s="282"/>
      <c r="N30" s="282"/>
      <c r="O30" s="282"/>
      <c r="P30" s="282"/>
    </row>
    <row r="31" spans="1:23" x14ac:dyDescent="0.3">
      <c r="A31" s="282"/>
      <c r="B31" s="282"/>
      <c r="C31" s="282"/>
      <c r="D31" s="282"/>
      <c r="E31" s="282"/>
      <c r="F31" s="282"/>
      <c r="G31" s="282"/>
      <c r="H31" s="282"/>
      <c r="I31" s="282"/>
      <c r="J31" s="282"/>
      <c r="K31" s="282"/>
      <c r="L31" s="282"/>
      <c r="M31" s="282"/>
      <c r="N31" s="282"/>
      <c r="O31" s="282"/>
      <c r="P31" s="282"/>
    </row>
    <row r="32" spans="1:23" x14ac:dyDescent="0.3">
      <c r="A32" s="282"/>
      <c r="B32" s="282"/>
      <c r="C32" s="282"/>
      <c r="D32" s="282"/>
      <c r="E32" s="282"/>
      <c r="F32" s="282"/>
      <c r="G32" s="282"/>
      <c r="H32" s="282"/>
      <c r="I32" s="282"/>
      <c r="J32" s="282"/>
      <c r="K32" s="282"/>
      <c r="L32" s="282"/>
      <c r="M32" s="282"/>
      <c r="N32" s="282"/>
      <c r="O32" s="282"/>
      <c r="P32" s="282"/>
    </row>
    <row r="33" spans="1:16" x14ac:dyDescent="0.3">
      <c r="A33" s="282"/>
      <c r="B33" s="282"/>
      <c r="C33" s="282"/>
      <c r="D33" s="282"/>
      <c r="E33" s="282"/>
      <c r="F33" s="282"/>
      <c r="G33" s="282"/>
      <c r="H33" s="282"/>
      <c r="I33" s="282"/>
      <c r="J33" s="282"/>
      <c r="K33" s="282"/>
      <c r="L33" s="282"/>
      <c r="M33" s="282"/>
      <c r="N33" s="282"/>
      <c r="O33" s="282"/>
      <c r="P33" s="282"/>
    </row>
    <row r="34" spans="1:16" x14ac:dyDescent="0.3">
      <c r="A34" s="282"/>
      <c r="B34" s="282"/>
      <c r="C34" s="282"/>
      <c r="D34" s="282"/>
      <c r="E34" s="282"/>
      <c r="F34" s="282"/>
      <c r="G34" s="282"/>
      <c r="H34" s="282"/>
      <c r="I34" s="282"/>
      <c r="J34" s="282"/>
      <c r="K34" s="282"/>
      <c r="L34" s="282"/>
      <c r="M34" s="282"/>
      <c r="N34" s="282"/>
      <c r="O34" s="282"/>
      <c r="P34" s="282"/>
    </row>
    <row r="35" spans="1:16" x14ac:dyDescent="0.3">
      <c r="A35" s="282"/>
      <c r="B35" s="282"/>
      <c r="C35" s="282"/>
      <c r="D35" s="282"/>
      <c r="E35" s="282"/>
      <c r="F35" s="282"/>
      <c r="G35" s="282"/>
      <c r="H35" s="282"/>
      <c r="I35" s="282"/>
      <c r="J35" s="282"/>
      <c r="K35" s="282"/>
      <c r="L35" s="282"/>
      <c r="M35" s="282"/>
      <c r="N35" s="282"/>
      <c r="O35" s="282"/>
      <c r="P35" s="282"/>
    </row>
    <row r="36" spans="1:16" x14ac:dyDescent="0.3">
      <c r="A36" s="282"/>
      <c r="B36" s="282"/>
      <c r="C36" s="282"/>
      <c r="D36" s="282"/>
      <c r="E36" s="282"/>
      <c r="F36" s="282"/>
      <c r="G36" s="282"/>
      <c r="H36" s="282"/>
      <c r="I36" s="282"/>
      <c r="J36" s="282"/>
      <c r="K36" s="282"/>
      <c r="L36" s="282"/>
      <c r="M36" s="282"/>
      <c r="N36" s="282"/>
      <c r="O36" s="282"/>
      <c r="P36" s="282"/>
    </row>
    <row r="37" spans="1:16" x14ac:dyDescent="0.3">
      <c r="A37" s="282"/>
      <c r="B37" s="282"/>
      <c r="C37" s="282"/>
      <c r="D37" s="282"/>
      <c r="E37" s="282"/>
      <c r="F37" s="282"/>
      <c r="G37" s="282"/>
      <c r="H37" s="282"/>
      <c r="I37" s="282"/>
      <c r="J37" s="282"/>
      <c r="K37" s="282"/>
      <c r="L37" s="282"/>
      <c r="M37" s="282"/>
      <c r="N37" s="282"/>
      <c r="O37" s="282"/>
      <c r="P37" s="282"/>
    </row>
    <row r="38" spans="1:16" x14ac:dyDescent="0.3">
      <c r="A38" s="282"/>
      <c r="B38" s="282"/>
      <c r="C38" s="282"/>
      <c r="D38" s="282"/>
      <c r="E38" s="282"/>
      <c r="F38" s="282"/>
      <c r="G38" s="282"/>
      <c r="H38" s="282"/>
      <c r="I38" s="282"/>
      <c r="J38" s="282"/>
      <c r="K38" s="282"/>
      <c r="L38" s="282"/>
      <c r="M38" s="282"/>
      <c r="N38" s="282"/>
      <c r="O38" s="282"/>
      <c r="P38" s="282"/>
    </row>
    <row r="39" spans="1:16" x14ac:dyDescent="0.3">
      <c r="A39" s="282"/>
      <c r="B39" s="282"/>
      <c r="C39" s="282"/>
      <c r="D39" s="282"/>
      <c r="E39" s="282"/>
      <c r="F39" s="282"/>
      <c r="G39" s="282"/>
      <c r="H39" s="282"/>
      <c r="I39" s="282"/>
      <c r="J39" s="282"/>
      <c r="K39" s="282"/>
      <c r="L39" s="282"/>
      <c r="M39" s="282"/>
      <c r="N39" s="282"/>
      <c r="O39" s="282"/>
      <c r="P39" s="282"/>
    </row>
    <row r="40" spans="1:16" x14ac:dyDescent="0.3">
      <c r="A40" s="282"/>
      <c r="B40" s="282"/>
      <c r="C40" s="282"/>
      <c r="D40" s="282"/>
      <c r="E40" s="282"/>
      <c r="F40" s="282"/>
      <c r="G40" s="282"/>
      <c r="H40" s="282"/>
      <c r="I40" s="282"/>
      <c r="J40" s="282"/>
      <c r="K40" s="282"/>
      <c r="L40" s="282"/>
      <c r="M40" s="282"/>
      <c r="N40" s="282"/>
      <c r="O40" s="282"/>
      <c r="P40" s="282"/>
    </row>
    <row r="41" spans="1:16" x14ac:dyDescent="0.3">
      <c r="A41" s="282"/>
      <c r="B41" s="282"/>
      <c r="C41" s="282"/>
      <c r="D41" s="282"/>
      <c r="E41" s="282"/>
      <c r="F41" s="282"/>
      <c r="G41" s="282"/>
      <c r="H41" s="282"/>
      <c r="I41" s="282"/>
      <c r="J41" s="282"/>
      <c r="K41" s="282"/>
      <c r="L41" s="282"/>
      <c r="M41" s="282"/>
      <c r="N41" s="282"/>
      <c r="O41" s="282"/>
      <c r="P41" s="282"/>
    </row>
    <row r="42" spans="1:16" x14ac:dyDescent="0.3">
      <c r="A42" s="282"/>
      <c r="B42" s="282"/>
      <c r="C42" s="282"/>
      <c r="D42" s="282"/>
      <c r="E42" s="282"/>
      <c r="F42" s="282"/>
      <c r="G42" s="282"/>
      <c r="H42" s="282"/>
      <c r="I42" s="282"/>
      <c r="J42" s="282"/>
      <c r="K42" s="282"/>
      <c r="L42" s="282"/>
      <c r="M42" s="282"/>
      <c r="N42" s="282"/>
      <c r="O42" s="282"/>
      <c r="P42" s="282"/>
    </row>
    <row r="43" spans="1:16" x14ac:dyDescent="0.3">
      <c r="A43" s="282"/>
      <c r="B43" s="282"/>
      <c r="C43" s="282"/>
      <c r="D43" s="282"/>
      <c r="E43" s="282"/>
      <c r="F43" s="282"/>
      <c r="G43" s="282"/>
      <c r="H43" s="282"/>
      <c r="I43" s="282"/>
      <c r="J43" s="282"/>
      <c r="K43" s="282"/>
      <c r="L43" s="282"/>
      <c r="M43" s="282"/>
      <c r="N43" s="282"/>
      <c r="O43" s="282"/>
      <c r="P43" s="282"/>
    </row>
    <row r="44" spans="1:16" x14ac:dyDescent="0.3">
      <c r="A44" s="282"/>
      <c r="B44" s="282"/>
      <c r="C44" s="282"/>
      <c r="D44" s="282"/>
      <c r="E44" s="282"/>
      <c r="F44" s="282"/>
      <c r="G44" s="282"/>
      <c r="H44" s="282"/>
      <c r="I44" s="282"/>
      <c r="J44" s="282"/>
      <c r="K44" s="282"/>
      <c r="L44" s="282"/>
      <c r="M44" s="282"/>
      <c r="N44" s="282"/>
      <c r="O44" s="282"/>
      <c r="P44" s="282"/>
    </row>
  </sheetData>
  <mergeCells count="3">
    <mergeCell ref="R2:U2"/>
    <mergeCell ref="R4:S4"/>
    <mergeCell ref="A1:P44"/>
  </mergeCells>
  <pageMargins left="0.7" right="0.7" top="0.75" bottom="0.75" header="0.3" footer="0.3"/>
  <pageSetup orientation="portrait" horizontalDpi="0" verticalDpi="0" r:id="rId1"/>
  <ignoredErrors>
    <ignoredError sqref="S5:S14"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2"/>
  <sheetViews>
    <sheetView topLeftCell="B1" workbookViewId="0">
      <selection activeCell="B3" sqref="B3"/>
    </sheetView>
  </sheetViews>
  <sheetFormatPr defaultColWidth="8.84375" defaultRowHeight="12.45" x14ac:dyDescent="0.3"/>
  <cols>
    <col min="2" max="2" width="52.69140625" customWidth="1"/>
  </cols>
  <sheetData>
    <row r="2" spans="2:2" ht="90" x14ac:dyDescent="2">
      <c r="B2" s="17" t="s">
        <v>193</v>
      </c>
    </row>
  </sheetData>
  <pageMargins left="0.7" right="0.7" top="0.75" bottom="0.75" header="0.3" footer="0.3"/>
  <pageSetup orientation="portrait"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50CE-7366-44C8-90E3-C0C7833CBDB5}">
  <sheetPr codeName="Sheet14"/>
  <dimension ref="B1:AD119"/>
  <sheetViews>
    <sheetView topLeftCell="A2" zoomScale="80" zoomScaleNormal="80" workbookViewId="0">
      <pane ySplit="1" topLeftCell="A46" activePane="bottomLeft" state="frozen"/>
      <selection activeCell="A2" sqref="A2"/>
      <selection pane="bottomLeft" activeCell="B63" sqref="B63"/>
    </sheetView>
  </sheetViews>
  <sheetFormatPr defaultColWidth="32.69140625" defaultRowHeight="12.45" x14ac:dyDescent="0.3"/>
  <cols>
    <col min="1" max="1" width="21.15234375" customWidth="1"/>
    <col min="2" max="2" width="20.69140625" bestFit="1" customWidth="1"/>
    <col min="3" max="3" width="7" bestFit="1" customWidth="1"/>
    <col min="4" max="4" width="7.69140625" bestFit="1" customWidth="1"/>
    <col min="5" max="5" width="8.23046875" bestFit="1" customWidth="1"/>
    <col min="6" max="7" width="7.15234375" bestFit="1" customWidth="1"/>
    <col min="8" max="8" width="7" bestFit="1" customWidth="1"/>
    <col min="9" max="9" width="7.15234375" bestFit="1" customWidth="1"/>
    <col min="10" max="10" width="7" bestFit="1" customWidth="1"/>
    <col min="11" max="11" width="7.15234375" bestFit="1" customWidth="1"/>
    <col min="12" max="12" width="8.23046875" bestFit="1" customWidth="1"/>
    <col min="13" max="14" width="7" bestFit="1" customWidth="1"/>
    <col min="15" max="16" width="8.23046875" bestFit="1" customWidth="1"/>
    <col min="17" max="17" width="7.15234375" bestFit="1" customWidth="1"/>
    <col min="18" max="18" width="8.23046875" bestFit="1" customWidth="1"/>
    <col min="19" max="20" width="7.15234375" bestFit="1" customWidth="1"/>
    <col min="21" max="25" width="8.23046875" bestFit="1" customWidth="1"/>
    <col min="26" max="26" width="7.15234375" bestFit="1" customWidth="1"/>
    <col min="27" max="27" width="4.4609375" bestFit="1" customWidth="1"/>
    <col min="28" max="29" width="5.53515625" bestFit="1" customWidth="1"/>
  </cols>
  <sheetData>
    <row r="1" spans="2:30" ht="12.9" thickBot="1" x14ac:dyDescent="0.35"/>
    <row r="2" spans="2:30" ht="16.75" x14ac:dyDescent="0.5">
      <c r="B2" s="283" t="s">
        <v>30</v>
      </c>
      <c r="C2" s="45" t="s">
        <v>0</v>
      </c>
      <c r="D2" s="24" t="s">
        <v>1</v>
      </c>
      <c r="E2" s="24" t="s">
        <v>2</v>
      </c>
      <c r="F2" s="24" t="s">
        <v>11</v>
      </c>
      <c r="G2" s="74" t="s">
        <v>141</v>
      </c>
      <c r="H2" s="24" t="s">
        <v>3</v>
      </c>
      <c r="I2" s="24" t="s">
        <v>4</v>
      </c>
      <c r="J2" s="24" t="s">
        <v>5</v>
      </c>
      <c r="K2" s="76" t="s">
        <v>140</v>
      </c>
      <c r="L2" s="76" t="s">
        <v>144</v>
      </c>
      <c r="M2" s="24" t="s">
        <v>6</v>
      </c>
      <c r="N2" s="24" t="s">
        <v>7</v>
      </c>
      <c r="O2" s="24" t="s">
        <v>8</v>
      </c>
      <c r="P2" s="24" t="s">
        <v>29</v>
      </c>
      <c r="Q2" s="24" t="s">
        <v>10</v>
      </c>
      <c r="R2" s="205" t="s">
        <v>186</v>
      </c>
      <c r="S2" s="24" t="s">
        <v>133</v>
      </c>
      <c r="T2" s="24" t="s">
        <v>143</v>
      </c>
      <c r="U2" s="24" t="s">
        <v>130</v>
      </c>
      <c r="V2" s="25" t="s">
        <v>161</v>
      </c>
      <c r="W2" s="25" t="s">
        <v>160</v>
      </c>
      <c r="X2" s="83" t="s">
        <v>164</v>
      </c>
      <c r="Y2" s="46" t="s">
        <v>77</v>
      </c>
      <c r="Z2" s="285" t="s">
        <v>28</v>
      </c>
    </row>
    <row r="3" spans="2:30" ht="15.45" thickBot="1" x14ac:dyDescent="0.45">
      <c r="B3" s="284"/>
      <c r="C3" s="27">
        <v>60.09</v>
      </c>
      <c r="D3" s="26">
        <v>69.62</v>
      </c>
      <c r="E3" s="27">
        <v>101.96</v>
      </c>
      <c r="F3" s="27">
        <v>79.866</v>
      </c>
      <c r="G3" s="27">
        <v>74.692799999999991</v>
      </c>
      <c r="H3" s="27">
        <v>29.88</v>
      </c>
      <c r="I3" s="27">
        <v>61.98</v>
      </c>
      <c r="J3" s="27">
        <v>94.2</v>
      </c>
      <c r="K3" s="27">
        <v>79.545000000000002</v>
      </c>
      <c r="L3" s="27">
        <v>465.96</v>
      </c>
      <c r="M3" s="27">
        <v>40.31</v>
      </c>
      <c r="N3" s="27">
        <v>56.08</v>
      </c>
      <c r="O3" s="27">
        <v>103.62</v>
      </c>
      <c r="P3" s="27">
        <v>153.69999999999999</v>
      </c>
      <c r="Q3" s="27">
        <v>81.39</v>
      </c>
      <c r="R3" s="27">
        <v>71.84</v>
      </c>
      <c r="S3" s="27">
        <v>86.94</v>
      </c>
      <c r="T3" s="27">
        <v>74.930000000000007</v>
      </c>
      <c r="U3" s="108">
        <v>223.2</v>
      </c>
      <c r="V3" s="27">
        <v>150.69999999999999</v>
      </c>
      <c r="W3" s="28">
        <v>141.94</v>
      </c>
      <c r="X3" s="27">
        <v>152</v>
      </c>
      <c r="Y3" s="27">
        <v>214.44</v>
      </c>
      <c r="Z3" s="286"/>
    </row>
    <row r="4" spans="2:30" ht="12.9" thickBot="1" x14ac:dyDescent="0.35">
      <c r="B4" s="161" t="s">
        <v>22</v>
      </c>
      <c r="C4" s="156">
        <v>49.44</v>
      </c>
      <c r="D4" s="30"/>
      <c r="E4" s="30">
        <v>35.46</v>
      </c>
      <c r="F4" s="30">
        <v>0.36</v>
      </c>
      <c r="G4" s="30"/>
      <c r="H4" s="30"/>
      <c r="I4" s="30"/>
      <c r="J4" s="30">
        <v>0.4</v>
      </c>
      <c r="K4" s="30"/>
      <c r="L4" s="30"/>
      <c r="M4" s="30">
        <v>0.16</v>
      </c>
      <c r="N4" s="30">
        <v>0.05</v>
      </c>
      <c r="O4" s="30"/>
      <c r="P4" s="30"/>
      <c r="Q4" s="30"/>
      <c r="R4" s="30">
        <v>0.51</v>
      </c>
      <c r="S4" s="30"/>
      <c r="T4" s="30"/>
      <c r="U4" s="30"/>
      <c r="V4" s="30"/>
      <c r="W4" s="30"/>
      <c r="X4" s="30"/>
      <c r="Y4" s="148"/>
      <c r="Z4" s="150">
        <f>SUM(C4:Y4)</f>
        <v>86.38000000000001</v>
      </c>
      <c r="AA4" s="151">
        <v>14</v>
      </c>
      <c r="AB4" s="152">
        <v>1384</v>
      </c>
      <c r="AC4" s="153">
        <f>AB4*1.8+32</f>
        <v>2523.2000000000003</v>
      </c>
      <c r="AD4" s="106" t="s">
        <v>100</v>
      </c>
    </row>
    <row r="5" spans="2:30" ht="12.9" thickBot="1" x14ac:dyDescent="0.35">
      <c r="B5" s="161" t="s">
        <v>26</v>
      </c>
      <c r="C5" s="156">
        <v>98.54</v>
      </c>
      <c r="D5" s="30"/>
      <c r="E5" s="30">
        <v>0.42</v>
      </c>
      <c r="F5" s="30">
        <v>0.06</v>
      </c>
      <c r="G5" s="30"/>
      <c r="H5" s="30"/>
      <c r="I5" s="30"/>
      <c r="J5" s="30"/>
      <c r="K5" s="30"/>
      <c r="L5" s="30"/>
      <c r="M5" s="30">
        <v>0.01</v>
      </c>
      <c r="N5" s="30">
        <v>0.01</v>
      </c>
      <c r="O5" s="30"/>
      <c r="P5" s="30"/>
      <c r="Q5" s="30"/>
      <c r="R5" s="30">
        <v>0.06</v>
      </c>
      <c r="S5" s="30"/>
      <c r="T5" s="30"/>
      <c r="U5" s="30"/>
      <c r="V5" s="30"/>
      <c r="W5" s="30"/>
      <c r="X5" s="30"/>
      <c r="Y5" s="148"/>
      <c r="Z5" s="150">
        <f t="shared" ref="Z5:Z70" si="0">SUM(C5:Y5)</f>
        <v>99.100000000000023</v>
      </c>
      <c r="AA5" s="151">
        <v>13</v>
      </c>
      <c r="AB5" s="152">
        <v>1348</v>
      </c>
      <c r="AC5" s="153">
        <f t="shared" ref="AC5:AC27" si="1">AB5*1.8+32</f>
        <v>2458.4</v>
      </c>
      <c r="AD5" s="107" t="s">
        <v>95</v>
      </c>
    </row>
    <row r="6" spans="2:30" ht="12.9" thickBot="1" x14ac:dyDescent="0.35">
      <c r="B6" s="161" t="s">
        <v>15</v>
      </c>
      <c r="C6" s="156">
        <v>61.95</v>
      </c>
      <c r="D6" s="30"/>
      <c r="E6" s="30">
        <v>22.1</v>
      </c>
      <c r="F6" s="30"/>
      <c r="G6" s="30"/>
      <c r="H6" s="30"/>
      <c r="I6" s="30">
        <v>10.29</v>
      </c>
      <c r="J6" s="30">
        <v>4.4000000000000004</v>
      </c>
      <c r="K6" s="30"/>
      <c r="L6" s="30"/>
      <c r="M6" s="30">
        <v>0.03</v>
      </c>
      <c r="N6" s="30">
        <v>0.36</v>
      </c>
      <c r="O6" s="30"/>
      <c r="P6" s="30"/>
      <c r="Q6" s="30"/>
      <c r="R6" s="30">
        <v>0.04</v>
      </c>
      <c r="S6" s="30"/>
      <c r="T6" s="30"/>
      <c r="U6" s="30"/>
      <c r="V6" s="30"/>
      <c r="W6" s="30"/>
      <c r="X6" s="30"/>
      <c r="Y6" s="148"/>
      <c r="Z6" s="150">
        <f t="shared" si="0"/>
        <v>99.170000000000016</v>
      </c>
      <c r="AA6" s="151">
        <v>12</v>
      </c>
      <c r="AB6" s="152">
        <v>1326</v>
      </c>
      <c r="AC6" s="153">
        <f t="shared" si="1"/>
        <v>2418.8000000000002</v>
      </c>
      <c r="AD6" s="106" t="s">
        <v>90</v>
      </c>
    </row>
    <row r="7" spans="2:30" ht="12.9" thickBot="1" x14ac:dyDescent="0.35">
      <c r="B7" s="162" t="s">
        <v>51</v>
      </c>
      <c r="C7" s="156"/>
      <c r="D7" s="30"/>
      <c r="E7" s="30"/>
      <c r="F7" s="30">
        <v>0.01</v>
      </c>
      <c r="G7" s="30"/>
      <c r="H7" s="30"/>
      <c r="I7" s="30"/>
      <c r="J7" s="30"/>
      <c r="K7" s="30"/>
      <c r="L7" s="30"/>
      <c r="M7" s="30"/>
      <c r="N7" s="30">
        <v>56.03</v>
      </c>
      <c r="O7" s="30"/>
      <c r="P7" s="30"/>
      <c r="Q7" s="30"/>
      <c r="R7" s="30"/>
      <c r="S7" s="30"/>
      <c r="T7" s="30"/>
      <c r="U7" s="30"/>
      <c r="V7" s="30"/>
      <c r="W7" s="30"/>
      <c r="X7" s="30"/>
      <c r="Y7" s="148"/>
      <c r="Z7" s="150">
        <f t="shared" si="0"/>
        <v>56.04</v>
      </c>
      <c r="AA7" s="151">
        <v>11</v>
      </c>
      <c r="AB7" s="152">
        <v>1315</v>
      </c>
      <c r="AC7" s="153">
        <f t="shared" si="1"/>
        <v>2399</v>
      </c>
      <c r="AD7" s="106" t="s">
        <v>112</v>
      </c>
    </row>
    <row r="8" spans="2:30" ht="12.9" thickBot="1" x14ac:dyDescent="0.35">
      <c r="B8" s="163" t="s">
        <v>27</v>
      </c>
      <c r="C8" s="156">
        <v>64.3</v>
      </c>
      <c r="D8" s="30"/>
      <c r="E8" s="30">
        <v>20.7</v>
      </c>
      <c r="F8" s="30">
        <v>0.01</v>
      </c>
      <c r="G8" s="30"/>
      <c r="H8" s="30"/>
      <c r="I8" s="30">
        <v>2.9</v>
      </c>
      <c r="J8" s="30"/>
      <c r="K8" s="30"/>
      <c r="L8" s="30"/>
      <c r="M8" s="30">
        <v>2.2999999999999998</v>
      </c>
      <c r="N8" s="30">
        <v>0.45</v>
      </c>
      <c r="O8" s="30"/>
      <c r="P8" s="30"/>
      <c r="Q8" s="30"/>
      <c r="R8" s="30">
        <v>0.11</v>
      </c>
      <c r="S8" s="30"/>
      <c r="T8" s="30"/>
      <c r="U8" s="30"/>
      <c r="V8" s="30"/>
      <c r="W8" s="30"/>
      <c r="X8" s="30"/>
      <c r="Y8" s="148"/>
      <c r="Z8" s="150">
        <f t="shared" si="0"/>
        <v>90.77000000000001</v>
      </c>
      <c r="AA8" s="151">
        <v>10</v>
      </c>
      <c r="AB8" s="106">
        <v>1305</v>
      </c>
      <c r="AC8" s="153">
        <f t="shared" si="1"/>
        <v>2381</v>
      </c>
      <c r="AD8" s="105"/>
    </row>
    <row r="9" spans="2:30" ht="12.9" thickBot="1" x14ac:dyDescent="0.35">
      <c r="B9" s="161" t="s">
        <v>24</v>
      </c>
      <c r="C9" s="156">
        <v>52.29</v>
      </c>
      <c r="D9" s="30"/>
      <c r="E9" s="30">
        <v>43.8</v>
      </c>
      <c r="F9" s="30"/>
      <c r="G9" s="30"/>
      <c r="H9" s="30"/>
      <c r="I9" s="30">
        <v>0.14000000000000001</v>
      </c>
      <c r="J9" s="30">
        <v>0.05</v>
      </c>
      <c r="K9" s="30"/>
      <c r="L9" s="30"/>
      <c r="M9" s="30">
        <v>0.03</v>
      </c>
      <c r="N9" s="30">
        <v>7.0000000000000007E-2</v>
      </c>
      <c r="O9" s="30"/>
      <c r="P9" s="30"/>
      <c r="Q9" s="30"/>
      <c r="R9" s="30">
        <v>0.44</v>
      </c>
      <c r="S9" s="30"/>
      <c r="T9" s="30"/>
      <c r="U9" s="30"/>
      <c r="V9" s="30"/>
      <c r="W9" s="30"/>
      <c r="X9" s="30"/>
      <c r="Y9" s="148"/>
      <c r="Z9" s="150">
        <f t="shared" si="0"/>
        <v>96.82</v>
      </c>
      <c r="AA9" s="151">
        <v>9</v>
      </c>
      <c r="AB9" s="106">
        <v>1280</v>
      </c>
      <c r="AC9" s="153">
        <f t="shared" si="1"/>
        <v>2336</v>
      </c>
    </row>
    <row r="10" spans="2:30" ht="12.9" thickBot="1" x14ac:dyDescent="0.35">
      <c r="B10" s="164" t="s">
        <v>145</v>
      </c>
      <c r="C10" s="156">
        <v>55.305829693145661</v>
      </c>
      <c r="D10" s="30">
        <v>13.766560606877706</v>
      </c>
      <c r="E10" s="30">
        <v>9.8974276007118576</v>
      </c>
      <c r="F10" s="30">
        <v>0.03</v>
      </c>
      <c r="G10" s="30"/>
      <c r="H10" s="30"/>
      <c r="I10" s="30">
        <v>6.2393355983389958</v>
      </c>
      <c r="J10" s="30">
        <v>0.67734455050423337</v>
      </c>
      <c r="K10" s="30"/>
      <c r="L10" s="30"/>
      <c r="M10" s="30"/>
      <c r="N10" s="30">
        <v>14.11350195042154</v>
      </c>
      <c r="O10" s="30"/>
      <c r="P10" s="30"/>
      <c r="Q10" s="30"/>
      <c r="R10" s="30"/>
      <c r="S10" s="30"/>
      <c r="T10" s="30"/>
      <c r="U10" s="30"/>
      <c r="V10" s="30"/>
      <c r="W10" s="30"/>
      <c r="X10" s="30"/>
      <c r="Y10" s="148"/>
      <c r="Z10" s="150">
        <f t="shared" si="0"/>
        <v>100.02999999999999</v>
      </c>
      <c r="AA10" s="151">
        <v>8</v>
      </c>
      <c r="AB10" s="106">
        <v>1271</v>
      </c>
      <c r="AC10" s="153">
        <f t="shared" si="1"/>
        <v>2319.8000000000002</v>
      </c>
    </row>
    <row r="11" spans="2:30" ht="12.9" thickBot="1" x14ac:dyDescent="0.35">
      <c r="B11" s="165" t="s">
        <v>42</v>
      </c>
      <c r="C11" s="156">
        <v>14.8</v>
      </c>
      <c r="D11" s="30">
        <v>26.8</v>
      </c>
      <c r="E11" s="30">
        <v>1.32</v>
      </c>
      <c r="F11" s="30">
        <v>0.03</v>
      </c>
      <c r="G11" s="30"/>
      <c r="H11" s="30"/>
      <c r="I11" s="30">
        <v>4.33</v>
      </c>
      <c r="J11" s="30">
        <v>0.42</v>
      </c>
      <c r="K11" s="30"/>
      <c r="L11" s="30"/>
      <c r="M11" s="30">
        <v>3.69</v>
      </c>
      <c r="N11" s="30">
        <v>19.39</v>
      </c>
      <c r="O11" s="30">
        <v>0.3422</v>
      </c>
      <c r="P11" s="30">
        <v>3.7599999999999995E-2</v>
      </c>
      <c r="Q11" s="30"/>
      <c r="R11" s="30">
        <v>0.39</v>
      </c>
      <c r="S11" s="30"/>
      <c r="T11" s="30"/>
      <c r="U11" s="30"/>
      <c r="V11" s="30"/>
      <c r="W11" s="30"/>
      <c r="X11" s="30"/>
      <c r="Y11" s="148"/>
      <c r="Z11" s="150">
        <f t="shared" si="0"/>
        <v>71.549800000000005</v>
      </c>
      <c r="AA11" s="151">
        <v>7</v>
      </c>
      <c r="AB11" s="106">
        <v>1257</v>
      </c>
      <c r="AC11" s="153">
        <f t="shared" si="1"/>
        <v>2294.6</v>
      </c>
    </row>
    <row r="12" spans="2:30" ht="12.9" thickBot="1" x14ac:dyDescent="0.35">
      <c r="B12" s="166" t="s">
        <v>48</v>
      </c>
      <c r="C12" s="156">
        <v>69.099999999999994</v>
      </c>
      <c r="D12" s="30"/>
      <c r="E12" s="30">
        <v>18.649999999999999</v>
      </c>
      <c r="F12" s="30"/>
      <c r="G12" s="30"/>
      <c r="H12" s="30"/>
      <c r="I12" s="30">
        <v>6.24</v>
      </c>
      <c r="J12" s="30">
        <v>4.04</v>
      </c>
      <c r="K12" s="30"/>
      <c r="L12" s="30"/>
      <c r="M12" s="30">
        <v>0.01</v>
      </c>
      <c r="N12" s="30">
        <v>1.31</v>
      </c>
      <c r="O12" s="30">
        <v>2.1599999999999998E-2</v>
      </c>
      <c r="P12" s="30">
        <v>4.8899999999999999E-2</v>
      </c>
      <c r="Q12" s="30"/>
      <c r="R12" s="30">
        <v>7.0000000000000007E-2</v>
      </c>
      <c r="S12" s="30"/>
      <c r="T12" s="30"/>
      <c r="U12" s="30"/>
      <c r="V12" s="30"/>
      <c r="W12" s="30"/>
      <c r="X12" s="30"/>
      <c r="Y12" s="148"/>
      <c r="Z12" s="150">
        <f t="shared" si="0"/>
        <v>99.490500000000011</v>
      </c>
      <c r="AA12" s="154">
        <v>6</v>
      </c>
      <c r="AB12" s="106">
        <v>1243</v>
      </c>
      <c r="AC12" s="153">
        <f t="shared" si="1"/>
        <v>2269.4</v>
      </c>
    </row>
    <row r="13" spans="2:30" ht="12.9" thickBot="1" x14ac:dyDescent="0.35">
      <c r="B13" s="165" t="s">
        <v>127</v>
      </c>
      <c r="C13" s="156">
        <v>67</v>
      </c>
      <c r="D13" s="30"/>
      <c r="E13" s="30">
        <v>17.5</v>
      </c>
      <c r="F13" s="30"/>
      <c r="G13" s="30"/>
      <c r="H13" s="30"/>
      <c r="I13" s="30">
        <v>3</v>
      </c>
      <c r="J13" s="30">
        <v>11.5</v>
      </c>
      <c r="K13" s="30"/>
      <c r="L13" s="30"/>
      <c r="M13" s="30">
        <v>0.15</v>
      </c>
      <c r="N13" s="30">
        <v>0.15</v>
      </c>
      <c r="O13" s="30"/>
      <c r="P13" s="30"/>
      <c r="Q13" s="30"/>
      <c r="R13" s="30">
        <v>0.08</v>
      </c>
      <c r="S13" s="30"/>
      <c r="T13" s="30"/>
      <c r="U13" s="30"/>
      <c r="V13" s="30"/>
      <c r="W13" s="30"/>
      <c r="X13" s="30"/>
      <c r="Y13" s="148"/>
      <c r="Z13" s="150">
        <f t="shared" si="0"/>
        <v>99.38000000000001</v>
      </c>
      <c r="AA13" s="151">
        <v>5</v>
      </c>
      <c r="AB13" s="106">
        <v>1207</v>
      </c>
      <c r="AC13" s="153">
        <f t="shared" si="1"/>
        <v>2204.6</v>
      </c>
    </row>
    <row r="14" spans="2:30" ht="12.9" thickBot="1" x14ac:dyDescent="0.35">
      <c r="B14" s="166" t="s">
        <v>16</v>
      </c>
      <c r="C14" s="156">
        <v>69.599999999999994</v>
      </c>
      <c r="D14" s="30"/>
      <c r="E14" s="30">
        <v>16.239999999999998</v>
      </c>
      <c r="F14" s="30">
        <v>0.11</v>
      </c>
      <c r="G14" s="30"/>
      <c r="H14" s="30"/>
      <c r="I14" s="30">
        <v>2.1</v>
      </c>
      <c r="J14" s="30">
        <v>10.33</v>
      </c>
      <c r="K14" s="30"/>
      <c r="L14" s="30"/>
      <c r="M14" s="30">
        <v>0.08</v>
      </c>
      <c r="N14" s="30">
        <v>0.32</v>
      </c>
      <c r="O14" s="30"/>
      <c r="P14" s="30"/>
      <c r="Q14" s="30"/>
      <c r="R14" s="30">
        <v>0.26</v>
      </c>
      <c r="S14" s="30"/>
      <c r="T14" s="30"/>
      <c r="U14" s="30"/>
      <c r="V14" s="30"/>
      <c r="W14" s="30"/>
      <c r="X14" s="30"/>
      <c r="Y14" s="148"/>
      <c r="Z14" s="150">
        <f t="shared" si="0"/>
        <v>99.039999999999978</v>
      </c>
      <c r="AA14" s="151">
        <v>4</v>
      </c>
      <c r="AB14" s="106">
        <v>1183</v>
      </c>
      <c r="AC14" s="153">
        <f t="shared" si="1"/>
        <v>2161.4</v>
      </c>
    </row>
    <row r="15" spans="2:30" ht="12.9" thickBot="1" x14ac:dyDescent="0.35">
      <c r="B15" s="164" t="s">
        <v>121</v>
      </c>
      <c r="C15" s="156">
        <v>68.58</v>
      </c>
      <c r="D15" s="30"/>
      <c r="E15" s="30">
        <v>17</v>
      </c>
      <c r="F15" s="30"/>
      <c r="G15" s="30"/>
      <c r="H15" s="30"/>
      <c r="I15" s="30">
        <v>2.1</v>
      </c>
      <c r="J15" s="30">
        <v>11</v>
      </c>
      <c r="K15" s="30"/>
      <c r="L15" s="30"/>
      <c r="M15" s="30">
        <v>0.08</v>
      </c>
      <c r="N15" s="30">
        <v>0.5</v>
      </c>
      <c r="O15" s="30"/>
      <c r="P15" s="30"/>
      <c r="Q15" s="30"/>
      <c r="R15" s="30">
        <v>0.1</v>
      </c>
      <c r="S15" s="30"/>
      <c r="T15" s="30"/>
      <c r="U15" s="30"/>
      <c r="V15" s="30"/>
      <c r="W15" s="30"/>
      <c r="X15" s="30"/>
      <c r="Y15" s="148"/>
      <c r="Z15" s="150">
        <f t="shared" si="0"/>
        <v>99.359999999999985</v>
      </c>
      <c r="AA15" s="151">
        <v>3</v>
      </c>
      <c r="AB15" s="106">
        <v>1170</v>
      </c>
      <c r="AC15" s="153">
        <f t="shared" si="1"/>
        <v>2138</v>
      </c>
    </row>
    <row r="16" spans="2:30" ht="12.9" thickBot="1" x14ac:dyDescent="0.35">
      <c r="B16" s="166" t="s">
        <v>49</v>
      </c>
      <c r="C16" s="156">
        <v>64.92</v>
      </c>
      <c r="D16" s="30"/>
      <c r="E16" s="30">
        <v>26.67</v>
      </c>
      <c r="F16" s="30"/>
      <c r="G16" s="30"/>
      <c r="H16" s="30">
        <v>7.65</v>
      </c>
      <c r="I16" s="30">
        <v>0.15</v>
      </c>
      <c r="J16" s="30">
        <v>0.08</v>
      </c>
      <c r="K16" s="30"/>
      <c r="L16" s="30"/>
      <c r="M16" s="30">
        <v>0</v>
      </c>
      <c r="N16" s="30">
        <v>0.05</v>
      </c>
      <c r="O16" s="30">
        <v>0</v>
      </c>
      <c r="P16" s="30">
        <v>0</v>
      </c>
      <c r="Q16" s="30"/>
      <c r="R16" s="30">
        <v>7.0000000000000007E-2</v>
      </c>
      <c r="S16" s="30"/>
      <c r="T16" s="30"/>
      <c r="U16" s="30"/>
      <c r="V16" s="30"/>
      <c r="W16" s="30"/>
      <c r="X16" s="30"/>
      <c r="Y16" s="148"/>
      <c r="Z16" s="150">
        <f t="shared" si="0"/>
        <v>99.59</v>
      </c>
      <c r="AA16" s="151">
        <v>2</v>
      </c>
      <c r="AB16" s="106">
        <v>1164</v>
      </c>
      <c r="AC16" s="153">
        <f t="shared" si="1"/>
        <v>2127.2000000000003</v>
      </c>
    </row>
    <row r="17" spans="2:29" ht="12.9" thickBot="1" x14ac:dyDescent="0.35">
      <c r="B17" s="166" t="s">
        <v>146</v>
      </c>
      <c r="C17" s="156">
        <v>53.5</v>
      </c>
      <c r="D17" s="30"/>
      <c r="E17" s="30">
        <v>0.3</v>
      </c>
      <c r="F17" s="30">
        <v>0.05</v>
      </c>
      <c r="G17" s="30"/>
      <c r="H17" s="30"/>
      <c r="I17" s="30"/>
      <c r="J17" s="30">
        <v>0.3</v>
      </c>
      <c r="K17" s="30"/>
      <c r="L17" s="30"/>
      <c r="M17" s="30">
        <v>29.5</v>
      </c>
      <c r="N17" s="30">
        <v>3.5</v>
      </c>
      <c r="O17" s="30">
        <v>0</v>
      </c>
      <c r="P17" s="30"/>
      <c r="Q17" s="30"/>
      <c r="R17" s="30">
        <v>0.5</v>
      </c>
      <c r="S17" s="30"/>
      <c r="T17" s="30"/>
      <c r="U17" s="30"/>
      <c r="V17" s="30"/>
      <c r="W17" s="30"/>
      <c r="X17" s="30"/>
      <c r="Y17" s="148"/>
      <c r="Z17" s="150">
        <f t="shared" si="0"/>
        <v>87.649999999999991</v>
      </c>
      <c r="AA17" s="151">
        <v>1</v>
      </c>
      <c r="AB17" s="106">
        <v>1154</v>
      </c>
      <c r="AC17" s="153">
        <f t="shared" si="1"/>
        <v>2109.2000000000003</v>
      </c>
    </row>
    <row r="18" spans="2:29" ht="12.9" thickBot="1" x14ac:dyDescent="0.35">
      <c r="B18" s="164" t="s">
        <v>53</v>
      </c>
      <c r="C18" s="156"/>
      <c r="D18" s="30"/>
      <c r="E18" s="30"/>
      <c r="F18" s="30">
        <v>0.1</v>
      </c>
      <c r="G18" s="30"/>
      <c r="H18" s="30"/>
      <c r="I18" s="30"/>
      <c r="J18" s="30"/>
      <c r="K18" s="30"/>
      <c r="L18" s="30"/>
      <c r="M18" s="30">
        <v>48.99</v>
      </c>
      <c r="N18" s="30"/>
      <c r="O18" s="30"/>
      <c r="P18" s="30"/>
      <c r="Q18" s="30"/>
      <c r="R18" s="30"/>
      <c r="S18" s="30"/>
      <c r="T18" s="30"/>
      <c r="U18" s="30"/>
      <c r="V18" s="30"/>
      <c r="W18" s="30"/>
      <c r="X18" s="30"/>
      <c r="Y18" s="148"/>
      <c r="Z18" s="150">
        <f t="shared" si="0"/>
        <v>49.09</v>
      </c>
      <c r="AA18" s="155" t="s">
        <v>102</v>
      </c>
      <c r="AB18" s="106">
        <v>1138</v>
      </c>
      <c r="AC18" s="153">
        <f t="shared" si="1"/>
        <v>2080.4</v>
      </c>
    </row>
    <row r="19" spans="2:29" ht="12.9" thickBot="1" x14ac:dyDescent="0.35">
      <c r="B19" s="167" t="s">
        <v>43</v>
      </c>
      <c r="C19" s="156"/>
      <c r="D19" s="30"/>
      <c r="E19" s="30"/>
      <c r="F19" s="30"/>
      <c r="G19" s="30"/>
      <c r="H19" s="30"/>
      <c r="I19" s="30"/>
      <c r="J19" s="30"/>
      <c r="K19" s="30"/>
      <c r="L19" s="30"/>
      <c r="M19" s="30">
        <v>21.85</v>
      </c>
      <c r="N19" s="30">
        <v>30.41</v>
      </c>
      <c r="O19" s="30"/>
      <c r="P19" s="30"/>
      <c r="Q19" s="30"/>
      <c r="R19" s="30"/>
      <c r="S19" s="30"/>
      <c r="T19" s="30"/>
      <c r="U19" s="30"/>
      <c r="V19" s="30"/>
      <c r="W19" s="30"/>
      <c r="X19" s="30"/>
      <c r="Y19" s="148"/>
      <c r="Z19" s="150">
        <f t="shared" si="0"/>
        <v>52.260000000000005</v>
      </c>
      <c r="AA19" s="155" t="s">
        <v>103</v>
      </c>
      <c r="AB19" s="106">
        <v>1122</v>
      </c>
      <c r="AC19" s="153">
        <f t="shared" si="1"/>
        <v>2051.6000000000004</v>
      </c>
    </row>
    <row r="20" spans="2:29" ht="12.9" thickBot="1" x14ac:dyDescent="0.35">
      <c r="B20" s="168" t="s">
        <v>19</v>
      </c>
      <c r="C20" s="156">
        <v>50.47</v>
      </c>
      <c r="D20" s="30">
        <v>0</v>
      </c>
      <c r="E20" s="30">
        <v>0.82</v>
      </c>
      <c r="F20" s="30">
        <v>0.02</v>
      </c>
      <c r="G20" s="30"/>
      <c r="H20" s="30"/>
      <c r="I20" s="30">
        <v>0.1</v>
      </c>
      <c r="J20" s="30">
        <v>0.12</v>
      </c>
      <c r="K20" s="30"/>
      <c r="L20" s="30"/>
      <c r="M20" s="30">
        <v>1.1200000000000001</v>
      </c>
      <c r="N20" s="30">
        <v>43.53</v>
      </c>
      <c r="O20" s="30"/>
      <c r="P20" s="30"/>
      <c r="Q20" s="30"/>
      <c r="R20" s="30">
        <v>0.46</v>
      </c>
      <c r="S20" s="30"/>
      <c r="T20" s="30"/>
      <c r="U20" s="30"/>
      <c r="V20" s="30"/>
      <c r="W20" s="30"/>
      <c r="X20" s="30"/>
      <c r="Y20" s="148"/>
      <c r="Z20" s="150">
        <f t="shared" si="0"/>
        <v>96.64</v>
      </c>
      <c r="AA20" s="155" t="s">
        <v>104</v>
      </c>
      <c r="AB20" s="106">
        <v>1104</v>
      </c>
      <c r="AC20" s="153">
        <f t="shared" si="1"/>
        <v>2019.2</v>
      </c>
    </row>
    <row r="21" spans="2:29" ht="12.9" thickBot="1" x14ac:dyDescent="0.35">
      <c r="B21" s="163" t="s">
        <v>38</v>
      </c>
      <c r="C21" s="156"/>
      <c r="D21" s="30"/>
      <c r="E21" s="30"/>
      <c r="F21" s="30"/>
      <c r="G21" s="30"/>
      <c r="H21" s="30"/>
      <c r="I21" s="30"/>
      <c r="J21" s="30"/>
      <c r="K21" s="30"/>
      <c r="L21" s="30"/>
      <c r="M21" s="30"/>
      <c r="N21" s="30"/>
      <c r="O21" s="30">
        <v>70.19</v>
      </c>
      <c r="P21" s="30"/>
      <c r="Q21" s="30"/>
      <c r="R21" s="30"/>
      <c r="S21" s="30"/>
      <c r="T21" s="30"/>
      <c r="U21" s="30"/>
      <c r="V21" s="30"/>
      <c r="W21" s="30"/>
      <c r="X21" s="30"/>
      <c r="Y21" s="148"/>
      <c r="Z21" s="150">
        <f t="shared" si="0"/>
        <v>70.19</v>
      </c>
      <c r="AA21" s="155" t="s">
        <v>105</v>
      </c>
      <c r="AB21" s="106">
        <v>1077</v>
      </c>
      <c r="AC21" s="153">
        <f t="shared" si="1"/>
        <v>1970.6000000000001</v>
      </c>
    </row>
    <row r="22" spans="2:29" ht="12.9" thickBot="1" x14ac:dyDescent="0.35">
      <c r="B22" s="166" t="s">
        <v>39</v>
      </c>
      <c r="C22" s="156"/>
      <c r="D22" s="30"/>
      <c r="E22" s="30"/>
      <c r="F22" s="30"/>
      <c r="G22" s="30"/>
      <c r="H22" s="30"/>
      <c r="I22" s="30"/>
      <c r="J22" s="30"/>
      <c r="K22" s="30"/>
      <c r="L22" s="30"/>
      <c r="M22" s="30"/>
      <c r="N22" s="30"/>
      <c r="O22" s="30"/>
      <c r="P22" s="30">
        <v>77.89</v>
      </c>
      <c r="Q22" s="30"/>
      <c r="R22" s="30"/>
      <c r="S22" s="30"/>
      <c r="T22" s="30"/>
      <c r="U22" s="30"/>
      <c r="V22" s="30"/>
      <c r="W22" s="30"/>
      <c r="X22" s="30"/>
      <c r="Y22" s="148"/>
      <c r="Z22" s="150">
        <f t="shared" si="0"/>
        <v>77.89</v>
      </c>
      <c r="AA22" s="155" t="s">
        <v>106</v>
      </c>
      <c r="AB22" s="106">
        <v>1044</v>
      </c>
      <c r="AC22" s="153">
        <f t="shared" si="1"/>
        <v>1911.2</v>
      </c>
    </row>
    <row r="23" spans="2:29" ht="12.9" thickBot="1" x14ac:dyDescent="0.35">
      <c r="B23" s="166" t="s">
        <v>40</v>
      </c>
      <c r="C23" s="156"/>
      <c r="D23" s="30"/>
      <c r="E23" s="30"/>
      <c r="F23" s="30"/>
      <c r="G23" s="30"/>
      <c r="H23" s="30"/>
      <c r="I23" s="30"/>
      <c r="J23" s="30"/>
      <c r="K23" s="30"/>
      <c r="L23" s="30"/>
      <c r="M23" s="30"/>
      <c r="N23" s="30"/>
      <c r="O23" s="30"/>
      <c r="P23" s="30"/>
      <c r="Q23" s="30">
        <v>100</v>
      </c>
      <c r="R23" s="30"/>
      <c r="S23" s="30"/>
      <c r="T23" s="30"/>
      <c r="U23" s="30"/>
      <c r="V23" s="30"/>
      <c r="W23" s="30"/>
      <c r="X23" s="30"/>
      <c r="Y23" s="148"/>
      <c r="Z23" s="150">
        <f t="shared" si="0"/>
        <v>100</v>
      </c>
      <c r="AA23" s="155" t="s">
        <v>107</v>
      </c>
      <c r="AB23" s="106">
        <v>1013</v>
      </c>
      <c r="AC23" s="153">
        <f t="shared" si="1"/>
        <v>1855.4</v>
      </c>
    </row>
    <row r="24" spans="2:29" ht="12.9" thickBot="1" x14ac:dyDescent="0.35">
      <c r="B24" s="163" t="s">
        <v>52</v>
      </c>
      <c r="C24" s="156"/>
      <c r="D24" s="30"/>
      <c r="E24" s="30"/>
      <c r="F24" s="30">
        <v>0.01</v>
      </c>
      <c r="G24" s="30"/>
      <c r="H24" s="30">
        <v>40.369999999999997</v>
      </c>
      <c r="I24" s="30"/>
      <c r="J24" s="30"/>
      <c r="K24" s="30"/>
      <c r="L24" s="30"/>
      <c r="M24" s="30"/>
      <c r="N24" s="30"/>
      <c r="O24" s="30"/>
      <c r="P24" s="30"/>
      <c r="Q24" s="30"/>
      <c r="R24" s="30"/>
      <c r="S24" s="30"/>
      <c r="T24" s="30"/>
      <c r="U24" s="30"/>
      <c r="V24" s="30"/>
      <c r="W24" s="30"/>
      <c r="X24" s="30"/>
      <c r="Y24" s="148"/>
      <c r="Z24" s="150">
        <f t="shared" si="0"/>
        <v>40.379999999999995</v>
      </c>
      <c r="AA24" s="155" t="s">
        <v>108</v>
      </c>
      <c r="AB24" s="106">
        <v>987</v>
      </c>
      <c r="AC24" s="153">
        <f t="shared" si="1"/>
        <v>1808.6000000000001</v>
      </c>
    </row>
    <row r="25" spans="2:29" ht="12.9" thickBot="1" x14ac:dyDescent="0.35">
      <c r="B25" s="163" t="s">
        <v>20</v>
      </c>
      <c r="C25" s="158"/>
      <c r="D25" s="30"/>
      <c r="E25" s="30"/>
      <c r="F25" s="30">
        <v>0.05</v>
      </c>
      <c r="G25" s="30"/>
      <c r="H25" s="30"/>
      <c r="I25" s="30">
        <v>58</v>
      </c>
      <c r="J25" s="30"/>
      <c r="K25" s="30"/>
      <c r="L25" s="30"/>
      <c r="M25" s="30"/>
      <c r="N25" s="30"/>
      <c r="O25" s="30"/>
      <c r="P25" s="30"/>
      <c r="Q25" s="30"/>
      <c r="R25" s="30"/>
      <c r="S25" s="30"/>
      <c r="T25" s="30"/>
      <c r="U25" s="30"/>
      <c r="V25" s="30"/>
      <c r="W25" s="30"/>
      <c r="X25" s="30"/>
      <c r="Y25" s="148"/>
      <c r="Z25" s="150">
        <f t="shared" si="0"/>
        <v>58.05</v>
      </c>
      <c r="AA25" s="155" t="s">
        <v>109</v>
      </c>
      <c r="AB25" s="106">
        <v>956</v>
      </c>
      <c r="AC25" s="153">
        <f t="shared" si="1"/>
        <v>1752.8</v>
      </c>
    </row>
    <row r="26" spans="2:29" ht="12.9" thickBot="1" x14ac:dyDescent="0.35">
      <c r="B26" s="167" t="s">
        <v>21</v>
      </c>
      <c r="C26" s="156"/>
      <c r="D26" s="30"/>
      <c r="E26" s="30"/>
      <c r="F26" s="30">
        <v>1.42</v>
      </c>
      <c r="G26" s="30"/>
      <c r="H26" s="30"/>
      <c r="I26" s="30"/>
      <c r="J26" s="30">
        <v>68</v>
      </c>
      <c r="K26" s="30"/>
      <c r="L26" s="30"/>
      <c r="M26" s="30"/>
      <c r="N26" s="30"/>
      <c r="O26" s="30"/>
      <c r="P26" s="30"/>
      <c r="Q26" s="30"/>
      <c r="R26" s="30"/>
      <c r="S26" s="30"/>
      <c r="T26" s="30"/>
      <c r="U26" s="30"/>
      <c r="V26" s="30"/>
      <c r="W26" s="30"/>
      <c r="X26" s="30"/>
      <c r="Y26" s="148"/>
      <c r="Z26" s="150">
        <f t="shared" si="0"/>
        <v>69.42</v>
      </c>
      <c r="AA26" s="155" t="s">
        <v>110</v>
      </c>
      <c r="AB26" s="106">
        <v>930</v>
      </c>
      <c r="AC26" s="153">
        <f t="shared" si="1"/>
        <v>1706</v>
      </c>
    </row>
    <row r="27" spans="2:29" ht="12.9" thickBot="1" x14ac:dyDescent="0.35">
      <c r="B27" s="167" t="s">
        <v>147</v>
      </c>
      <c r="C27" s="156">
        <v>69.433371002294805</v>
      </c>
      <c r="D27" s="30">
        <v>2.59</v>
      </c>
      <c r="E27" s="30">
        <v>3.9271240402695842</v>
      </c>
      <c r="F27" s="30">
        <v>0</v>
      </c>
      <c r="G27" s="30"/>
      <c r="H27" s="30"/>
      <c r="I27" s="30">
        <v>15.517070048091478</v>
      </c>
      <c r="J27" s="30">
        <v>2.1769424358183294</v>
      </c>
      <c r="K27" s="30"/>
      <c r="L27" s="30"/>
      <c r="M27" s="30"/>
      <c r="N27" s="30">
        <v>6.2639862388890037</v>
      </c>
      <c r="O27" s="30"/>
      <c r="P27" s="30"/>
      <c r="Q27" s="30"/>
      <c r="R27" s="30"/>
      <c r="S27" s="30"/>
      <c r="T27" s="30"/>
      <c r="U27" s="30"/>
      <c r="V27" s="30"/>
      <c r="W27" s="30"/>
      <c r="X27" s="30"/>
      <c r="Y27" s="148"/>
      <c r="Z27" s="150">
        <f t="shared" si="0"/>
        <v>99.908493765363218</v>
      </c>
      <c r="AA27" s="155" t="s">
        <v>111</v>
      </c>
      <c r="AB27" s="106">
        <v>915</v>
      </c>
      <c r="AC27" s="153">
        <f t="shared" si="1"/>
        <v>1679</v>
      </c>
    </row>
    <row r="28" spans="2:29" ht="12.9" thickBot="1" x14ac:dyDescent="0.35">
      <c r="B28" s="169" t="s">
        <v>148</v>
      </c>
      <c r="C28" s="156">
        <v>47.419354838709701</v>
      </c>
      <c r="D28" s="30">
        <v>20.322580645161292</v>
      </c>
      <c r="E28" s="30"/>
      <c r="F28" s="30"/>
      <c r="G28" s="30"/>
      <c r="H28" s="30"/>
      <c r="I28" s="30">
        <v>10.322580645161292</v>
      </c>
      <c r="J28" s="30"/>
      <c r="K28" s="30"/>
      <c r="L28" s="30"/>
      <c r="M28" s="30"/>
      <c r="N28" s="30">
        <v>21.935483870967744</v>
      </c>
      <c r="O28" s="30"/>
      <c r="P28" s="30"/>
      <c r="Q28" s="30"/>
      <c r="R28" s="30"/>
      <c r="S28" s="30"/>
      <c r="T28" s="30"/>
      <c r="U28" s="30"/>
      <c r="V28" s="30"/>
      <c r="W28" s="30"/>
      <c r="X28" s="30"/>
      <c r="Y28" s="148"/>
      <c r="Z28" s="150">
        <f t="shared" si="0"/>
        <v>100.00000000000003</v>
      </c>
    </row>
    <row r="29" spans="2:29" ht="12.9" thickBot="1" x14ac:dyDescent="0.35">
      <c r="B29" s="169" t="s">
        <v>149</v>
      </c>
      <c r="C29" s="156">
        <v>48.35</v>
      </c>
      <c r="D29" s="30">
        <v>22.62</v>
      </c>
      <c r="E29" s="30">
        <v>11.98</v>
      </c>
      <c r="F29" s="30"/>
      <c r="G29" s="30"/>
      <c r="H29" s="30"/>
      <c r="I29" s="30">
        <v>5.69</v>
      </c>
      <c r="J29" s="30"/>
      <c r="K29" s="30"/>
      <c r="L29" s="30"/>
      <c r="M29" s="30"/>
      <c r="N29" s="30">
        <v>11.36</v>
      </c>
      <c r="O29" s="30"/>
      <c r="P29" s="30"/>
      <c r="Q29" s="30"/>
      <c r="R29" s="30"/>
      <c r="S29" s="30"/>
      <c r="T29" s="30"/>
      <c r="U29" s="30"/>
      <c r="V29" s="30"/>
      <c r="W29" s="30"/>
      <c r="X29" s="30"/>
      <c r="Y29" s="148"/>
      <c r="Z29" s="150">
        <f t="shared" si="0"/>
        <v>100</v>
      </c>
    </row>
    <row r="30" spans="2:29" ht="12.9" thickBot="1" x14ac:dyDescent="0.35">
      <c r="B30" s="169" t="s">
        <v>150</v>
      </c>
      <c r="C30" s="156">
        <v>53.8</v>
      </c>
      <c r="D30" s="30">
        <v>38.4</v>
      </c>
      <c r="E30" s="30"/>
      <c r="F30" s="30"/>
      <c r="G30" s="30"/>
      <c r="H30" s="30"/>
      <c r="I30" s="30">
        <v>7.2</v>
      </c>
      <c r="J30" s="30"/>
      <c r="K30" s="30"/>
      <c r="L30" s="30"/>
      <c r="M30" s="30"/>
      <c r="N30" s="30"/>
      <c r="O30" s="30"/>
      <c r="P30" s="30"/>
      <c r="Q30" s="30"/>
      <c r="R30" s="30"/>
      <c r="S30" s="30"/>
      <c r="T30" s="30"/>
      <c r="U30" s="30"/>
      <c r="V30" s="30"/>
      <c r="W30" s="30"/>
      <c r="X30" s="30"/>
      <c r="Y30" s="148"/>
      <c r="Z30" s="150">
        <f t="shared" si="0"/>
        <v>99.399999999999991</v>
      </c>
    </row>
    <row r="31" spans="2:29" ht="12.9" thickBot="1" x14ac:dyDescent="0.35">
      <c r="B31" s="169" t="s">
        <v>170</v>
      </c>
      <c r="C31" s="156">
        <v>64.63</v>
      </c>
      <c r="D31" s="30"/>
      <c r="E31" s="30">
        <v>5.94</v>
      </c>
      <c r="F31" s="30"/>
      <c r="G31" s="30"/>
      <c r="H31" s="30"/>
      <c r="I31" s="30">
        <v>29.43</v>
      </c>
      <c r="J31" s="30"/>
      <c r="K31" s="30"/>
      <c r="L31" s="30"/>
      <c r="M31" s="30"/>
      <c r="N31" s="30"/>
      <c r="O31" s="30"/>
      <c r="P31" s="30"/>
      <c r="Q31" s="30"/>
      <c r="R31" s="30"/>
      <c r="S31" s="30"/>
      <c r="T31" s="30"/>
      <c r="U31" s="30"/>
      <c r="V31" s="30"/>
      <c r="W31" s="30"/>
      <c r="X31" s="30"/>
      <c r="Y31" s="148"/>
      <c r="Z31" s="150">
        <f t="shared" si="0"/>
        <v>100</v>
      </c>
    </row>
    <row r="32" spans="2:29" ht="12.9" thickBot="1" x14ac:dyDescent="0.35">
      <c r="B32" s="169" t="s">
        <v>190</v>
      </c>
      <c r="C32" s="156">
        <v>33.207000000000001</v>
      </c>
      <c r="D32" s="30">
        <v>9.6839999999999993</v>
      </c>
      <c r="E32" s="30">
        <v>6.1689999999999996</v>
      </c>
      <c r="F32" s="30"/>
      <c r="G32" s="30"/>
      <c r="H32" s="30"/>
      <c r="I32" s="30">
        <v>3.819</v>
      </c>
      <c r="J32" s="30"/>
      <c r="K32" s="30"/>
      <c r="L32" s="30"/>
      <c r="M32" s="30"/>
      <c r="N32" s="30"/>
      <c r="O32" s="30"/>
      <c r="P32" s="30">
        <v>47.121000000000002</v>
      </c>
      <c r="Q32" s="30"/>
      <c r="R32" s="30"/>
      <c r="S32" s="30"/>
      <c r="T32" s="30"/>
      <c r="U32" s="30"/>
      <c r="V32" s="30"/>
      <c r="W32" s="30"/>
      <c r="X32" s="30"/>
      <c r="Y32" s="148"/>
      <c r="Z32" s="150">
        <f t="shared" si="0"/>
        <v>100</v>
      </c>
    </row>
    <row r="33" spans="2:26" ht="12.9" thickBot="1" x14ac:dyDescent="0.35">
      <c r="B33" s="163" t="s">
        <v>23</v>
      </c>
      <c r="C33" s="156">
        <v>43.42</v>
      </c>
      <c r="D33" s="30"/>
      <c r="E33" s="30">
        <v>32.17</v>
      </c>
      <c r="F33" s="30">
        <v>0.03</v>
      </c>
      <c r="G33" s="30"/>
      <c r="H33" s="30"/>
      <c r="I33" s="30">
        <v>0.2</v>
      </c>
      <c r="J33" s="30">
        <v>1.61</v>
      </c>
      <c r="K33" s="30"/>
      <c r="L33" s="30"/>
      <c r="M33" s="30">
        <v>0.32</v>
      </c>
      <c r="N33" s="30">
        <v>0.12</v>
      </c>
      <c r="O33" s="30"/>
      <c r="P33" s="30"/>
      <c r="Q33" s="30"/>
      <c r="R33" s="30">
        <v>0.74</v>
      </c>
      <c r="S33" s="30"/>
      <c r="T33" s="30"/>
      <c r="U33" s="30"/>
      <c r="V33" s="30"/>
      <c r="W33" s="30"/>
      <c r="X33" s="30"/>
      <c r="Y33" s="148"/>
      <c r="Z33" s="150">
        <f t="shared" si="0"/>
        <v>78.61</v>
      </c>
    </row>
    <row r="34" spans="2:26" ht="12.9" thickBot="1" x14ac:dyDescent="0.35">
      <c r="B34" s="163" t="s">
        <v>25</v>
      </c>
      <c r="C34" s="156">
        <v>53</v>
      </c>
      <c r="D34" s="30"/>
      <c r="E34" s="30">
        <v>30.8</v>
      </c>
      <c r="F34" s="30"/>
      <c r="G34" s="30"/>
      <c r="H34" s="30"/>
      <c r="I34" s="30">
        <v>0.3</v>
      </c>
      <c r="J34" s="30">
        <v>2.84</v>
      </c>
      <c r="K34" s="30"/>
      <c r="L34" s="30"/>
      <c r="M34" s="30">
        <v>0.3</v>
      </c>
      <c r="N34" s="30">
        <v>0.4</v>
      </c>
      <c r="O34" s="30"/>
      <c r="P34" s="30"/>
      <c r="Q34" s="30"/>
      <c r="R34" s="30">
        <v>0.8</v>
      </c>
      <c r="S34" s="30"/>
      <c r="T34" s="30"/>
      <c r="U34" s="30"/>
      <c r="V34" s="30"/>
      <c r="W34" s="30"/>
      <c r="X34" s="30"/>
      <c r="Y34" s="148"/>
      <c r="Z34" s="150">
        <f t="shared" si="0"/>
        <v>88.44</v>
      </c>
    </row>
    <row r="35" spans="2:26" ht="12.9" thickBot="1" x14ac:dyDescent="0.35">
      <c r="B35" s="170" t="s">
        <v>134</v>
      </c>
      <c r="C35" s="156">
        <v>53.54</v>
      </c>
      <c r="D35" s="30"/>
      <c r="E35" s="30">
        <v>15.2</v>
      </c>
      <c r="F35" s="30"/>
      <c r="G35" s="30"/>
      <c r="H35" s="30"/>
      <c r="I35" s="30">
        <v>2.2000000000000002</v>
      </c>
      <c r="J35" s="30">
        <v>3.5</v>
      </c>
      <c r="K35" s="30"/>
      <c r="L35" s="30"/>
      <c r="M35" s="30">
        <v>3.9</v>
      </c>
      <c r="N35" s="30">
        <v>5.9</v>
      </c>
      <c r="O35" s="30"/>
      <c r="P35" s="30"/>
      <c r="Q35" s="30"/>
      <c r="R35" s="30">
        <v>4.5</v>
      </c>
      <c r="S35" s="30"/>
      <c r="T35" s="30"/>
      <c r="U35" s="30"/>
      <c r="V35" s="30"/>
      <c r="W35" s="30"/>
      <c r="X35" s="30"/>
      <c r="Y35" s="148"/>
      <c r="Z35" s="150">
        <f t="shared" si="0"/>
        <v>88.740000000000009</v>
      </c>
    </row>
    <row r="36" spans="2:26" ht="12.9" thickBot="1" x14ac:dyDescent="0.35">
      <c r="B36" s="171" t="s">
        <v>54</v>
      </c>
      <c r="C36" s="156">
        <v>0.57999999999999996</v>
      </c>
      <c r="D36" s="30"/>
      <c r="E36" s="30">
        <v>7.0000000000000007E-2</v>
      </c>
      <c r="F36" s="30"/>
      <c r="G36" s="30"/>
      <c r="H36" s="30"/>
      <c r="I36" s="30">
        <v>0.06</v>
      </c>
      <c r="J36" s="30">
        <v>0.04</v>
      </c>
      <c r="K36" s="30"/>
      <c r="L36" s="30"/>
      <c r="M36" s="30">
        <v>0.06</v>
      </c>
      <c r="N36" s="30">
        <v>39.85</v>
      </c>
      <c r="O36" s="30"/>
      <c r="P36" s="30"/>
      <c r="Q36" s="30"/>
      <c r="R36" s="30">
        <v>0.04</v>
      </c>
      <c r="S36" s="30"/>
      <c r="T36" s="30"/>
      <c r="U36" s="30"/>
      <c r="V36" s="30"/>
      <c r="W36" s="30">
        <v>55.82</v>
      </c>
      <c r="X36" s="30"/>
      <c r="Y36" s="148"/>
      <c r="Z36" s="150">
        <f t="shared" si="0"/>
        <v>96.52000000000001</v>
      </c>
    </row>
    <row r="37" spans="2:26" ht="12.9" thickBot="1" x14ac:dyDescent="0.35">
      <c r="B37" s="165" t="s">
        <v>68</v>
      </c>
      <c r="C37" s="156">
        <v>54.3</v>
      </c>
      <c r="D37" s="30"/>
      <c r="E37" s="30">
        <v>16.399999999999999</v>
      </c>
      <c r="F37" s="30"/>
      <c r="G37" s="30"/>
      <c r="H37" s="30"/>
      <c r="I37" s="30">
        <v>0.4</v>
      </c>
      <c r="J37" s="30">
        <v>4.07</v>
      </c>
      <c r="K37" s="30"/>
      <c r="L37" s="30"/>
      <c r="M37" s="30">
        <v>1.55</v>
      </c>
      <c r="N37" s="30">
        <v>0.23</v>
      </c>
      <c r="O37" s="30"/>
      <c r="P37" s="30"/>
      <c r="Q37" s="30"/>
      <c r="R37" s="30">
        <v>7.04</v>
      </c>
      <c r="S37" s="30"/>
      <c r="T37" s="30"/>
      <c r="U37" s="30"/>
      <c r="V37" s="30"/>
      <c r="W37" s="30"/>
      <c r="X37" s="30"/>
      <c r="Y37" s="148"/>
      <c r="Z37" s="150">
        <f t="shared" si="0"/>
        <v>83.99</v>
      </c>
    </row>
    <row r="38" spans="2:26" ht="12.9" thickBot="1" x14ac:dyDescent="0.35">
      <c r="B38" s="161" t="s">
        <v>87</v>
      </c>
      <c r="C38" s="156"/>
      <c r="D38" s="30"/>
      <c r="E38" s="30"/>
      <c r="F38" s="30">
        <v>100</v>
      </c>
      <c r="G38" s="30"/>
      <c r="H38" s="30"/>
      <c r="I38" s="30"/>
      <c r="J38" s="30"/>
      <c r="K38" s="30"/>
      <c r="L38" s="30"/>
      <c r="M38" s="30"/>
      <c r="N38" s="30"/>
      <c r="O38" s="30"/>
      <c r="P38" s="30"/>
      <c r="Q38" s="30"/>
      <c r="R38" s="30"/>
      <c r="S38" s="30"/>
      <c r="T38" s="30"/>
      <c r="U38" s="30"/>
      <c r="V38" s="30"/>
      <c r="W38" s="30"/>
      <c r="X38" s="30"/>
      <c r="Y38" s="148"/>
      <c r="Z38" s="150">
        <f t="shared" si="0"/>
        <v>100</v>
      </c>
    </row>
    <row r="39" spans="2:26" ht="12.9" thickBot="1" x14ac:dyDescent="0.35">
      <c r="B39" s="161" t="s">
        <v>139</v>
      </c>
      <c r="C39" s="156"/>
      <c r="D39" s="30"/>
      <c r="E39" s="30"/>
      <c r="F39" s="30">
        <v>90</v>
      </c>
      <c r="G39" s="30"/>
      <c r="H39" s="30"/>
      <c r="I39" s="30"/>
      <c r="J39" s="30"/>
      <c r="K39" s="30"/>
      <c r="L39" s="30"/>
      <c r="M39" s="30"/>
      <c r="N39" s="30"/>
      <c r="O39" s="30"/>
      <c r="P39" s="30"/>
      <c r="Q39" s="30"/>
      <c r="R39" s="30">
        <v>8.9979999999999993</v>
      </c>
      <c r="S39" s="30"/>
      <c r="T39" s="30"/>
      <c r="U39" s="30"/>
      <c r="V39" s="30"/>
      <c r="W39" s="30"/>
      <c r="X39" s="30"/>
      <c r="Y39" s="148"/>
      <c r="Z39" s="150">
        <f t="shared" si="0"/>
        <v>98.998000000000005</v>
      </c>
    </row>
    <row r="40" spans="2:26" ht="12.9" thickBot="1" x14ac:dyDescent="0.35">
      <c r="B40" s="161" t="s">
        <v>82</v>
      </c>
      <c r="C40" s="156">
        <v>0.8</v>
      </c>
      <c r="D40" s="30"/>
      <c r="E40" s="30">
        <v>0.5</v>
      </c>
      <c r="F40" s="30">
        <v>96.09</v>
      </c>
      <c r="G40" s="30"/>
      <c r="H40" s="30"/>
      <c r="I40" s="30"/>
      <c r="J40" s="30"/>
      <c r="K40" s="30"/>
      <c r="L40" s="30"/>
      <c r="M40" s="30"/>
      <c r="N40" s="30"/>
      <c r="O40" s="30"/>
      <c r="P40" s="30"/>
      <c r="Q40" s="30"/>
      <c r="R40" s="30">
        <v>0.5</v>
      </c>
      <c r="S40" s="30"/>
      <c r="T40" s="30"/>
      <c r="U40" s="30"/>
      <c r="V40" s="30"/>
      <c r="W40" s="30"/>
      <c r="X40" s="30"/>
      <c r="Y40" s="148"/>
      <c r="Z40" s="150">
        <f t="shared" si="0"/>
        <v>97.89</v>
      </c>
    </row>
    <row r="41" spans="2:26" ht="12.9" thickBot="1" x14ac:dyDescent="0.35">
      <c r="B41" s="172" t="s">
        <v>86</v>
      </c>
      <c r="C41" s="156"/>
      <c r="D41" s="30"/>
      <c r="E41" s="30"/>
      <c r="F41" s="30">
        <v>49.41</v>
      </c>
      <c r="G41" s="30"/>
      <c r="H41" s="30"/>
      <c r="I41" s="30"/>
      <c r="J41" s="30"/>
      <c r="K41" s="30"/>
      <c r="L41" s="30"/>
      <c r="M41" s="30"/>
      <c r="N41" s="30"/>
      <c r="O41" s="30"/>
      <c r="P41" s="30"/>
      <c r="Q41" s="30"/>
      <c r="R41" s="30">
        <v>50.59</v>
      </c>
      <c r="S41" s="30"/>
      <c r="T41" s="30"/>
      <c r="U41" s="30"/>
      <c r="V41" s="30"/>
      <c r="W41" s="30"/>
      <c r="X41" s="30"/>
      <c r="Y41" s="148"/>
      <c r="Z41" s="150">
        <f t="shared" si="0"/>
        <v>100</v>
      </c>
    </row>
    <row r="42" spans="2:26" ht="12.9" thickBot="1" x14ac:dyDescent="0.35">
      <c r="B42" s="173" t="s">
        <v>120</v>
      </c>
      <c r="C42" s="156">
        <v>54.92</v>
      </c>
      <c r="D42" s="30"/>
      <c r="E42" s="30">
        <v>0.99</v>
      </c>
      <c r="F42" s="30"/>
      <c r="G42" s="30"/>
      <c r="H42" s="30">
        <v>1</v>
      </c>
      <c r="I42" s="30">
        <v>1.78</v>
      </c>
      <c r="J42" s="30">
        <v>0.11</v>
      </c>
      <c r="K42" s="30"/>
      <c r="L42" s="30"/>
      <c r="M42" s="30">
        <v>24.34</v>
      </c>
      <c r="N42" s="30">
        <v>4.46</v>
      </c>
      <c r="O42" s="30"/>
      <c r="P42" s="30"/>
      <c r="Q42" s="30"/>
      <c r="R42" s="30">
        <v>0.14000000000000001</v>
      </c>
      <c r="S42" s="30"/>
      <c r="T42" s="30"/>
      <c r="U42" s="30"/>
      <c r="V42" s="30"/>
      <c r="W42" s="30"/>
      <c r="X42" s="30"/>
      <c r="Y42" s="148"/>
      <c r="Z42" s="150">
        <f t="shared" si="0"/>
        <v>87.74</v>
      </c>
    </row>
    <row r="43" spans="2:26" ht="12.9" thickBot="1" x14ac:dyDescent="0.35">
      <c r="B43" s="167" t="s">
        <v>157</v>
      </c>
      <c r="C43" s="200">
        <v>56.7</v>
      </c>
      <c r="D43" s="201"/>
      <c r="E43" s="201">
        <v>15.4</v>
      </c>
      <c r="F43" s="201">
        <v>0.4</v>
      </c>
      <c r="G43" s="201"/>
      <c r="H43" s="201"/>
      <c r="I43" s="201">
        <v>0.5</v>
      </c>
      <c r="J43" s="201">
        <v>4.0999999999999996</v>
      </c>
      <c r="K43" s="201"/>
      <c r="L43" s="201"/>
      <c r="M43" s="201">
        <v>2.5</v>
      </c>
      <c r="N43" s="201">
        <v>8.5</v>
      </c>
      <c r="O43" s="201"/>
      <c r="P43" s="201"/>
      <c r="Q43" s="201"/>
      <c r="R43" s="201">
        <v>1.1000000000000001</v>
      </c>
      <c r="S43" s="201"/>
      <c r="T43" s="201"/>
      <c r="U43" s="201"/>
      <c r="V43" s="201"/>
      <c r="W43" s="201"/>
      <c r="X43" s="201"/>
      <c r="Y43" s="202"/>
      <c r="Z43" s="150">
        <f t="shared" si="0"/>
        <v>89.2</v>
      </c>
    </row>
    <row r="44" spans="2:26" ht="12.9" thickBot="1" x14ac:dyDescent="0.35">
      <c r="B44" s="170" t="s">
        <v>134</v>
      </c>
      <c r="C44" s="156">
        <v>53.54</v>
      </c>
      <c r="D44" s="30"/>
      <c r="E44" s="30">
        <v>15.2</v>
      </c>
      <c r="F44" s="30">
        <v>0.3</v>
      </c>
      <c r="G44" s="30"/>
      <c r="H44" s="30"/>
      <c r="I44" s="30">
        <v>2.2000000000000002</v>
      </c>
      <c r="J44" s="30">
        <v>3.5</v>
      </c>
      <c r="K44" s="30"/>
      <c r="L44" s="30"/>
      <c r="M44" s="30">
        <v>3.9</v>
      </c>
      <c r="N44" s="30">
        <v>5.9</v>
      </c>
      <c r="O44" s="30"/>
      <c r="P44" s="30"/>
      <c r="Q44" s="30"/>
      <c r="R44" s="30">
        <v>4.5</v>
      </c>
      <c r="S44" s="30"/>
      <c r="T44" s="30"/>
      <c r="U44" s="30"/>
      <c r="V44" s="30"/>
      <c r="W44" s="30"/>
      <c r="X44" s="30"/>
      <c r="Y44" s="148"/>
      <c r="Z44" s="150">
        <f t="shared" si="0"/>
        <v>89.04</v>
      </c>
    </row>
    <row r="45" spans="2:26" ht="12.9" thickBot="1" x14ac:dyDescent="0.35">
      <c r="B45" s="167" t="s">
        <v>75</v>
      </c>
      <c r="C45" s="156">
        <v>18.68</v>
      </c>
      <c r="D45" s="30">
        <v>27.47</v>
      </c>
      <c r="E45" s="30">
        <v>8.09</v>
      </c>
      <c r="F45" s="30">
        <v>0.05</v>
      </c>
      <c r="G45" s="30"/>
      <c r="H45" s="30"/>
      <c r="I45" s="30">
        <v>4</v>
      </c>
      <c r="J45" s="30">
        <v>1.4</v>
      </c>
      <c r="K45" s="30"/>
      <c r="L45" s="30"/>
      <c r="M45" s="30">
        <v>2.2999999999999998</v>
      </c>
      <c r="N45" s="30">
        <v>18.88</v>
      </c>
      <c r="O45" s="30">
        <v>0</v>
      </c>
      <c r="P45" s="30">
        <v>0</v>
      </c>
      <c r="Q45" s="30"/>
      <c r="R45" s="30">
        <v>0.1</v>
      </c>
      <c r="S45" s="30">
        <v>1.6999999999999999E-3</v>
      </c>
      <c r="T45" s="30"/>
      <c r="U45" s="30"/>
      <c r="V45" s="30"/>
      <c r="W45" s="30"/>
      <c r="X45" s="30"/>
      <c r="Y45" s="148"/>
      <c r="Z45" s="150">
        <f t="shared" si="0"/>
        <v>80.971699999999984</v>
      </c>
    </row>
    <row r="46" spans="2:26" ht="12.9" thickBot="1" x14ac:dyDescent="0.35">
      <c r="B46" s="171" t="s">
        <v>84</v>
      </c>
      <c r="C46" s="156"/>
      <c r="D46" s="30"/>
      <c r="E46" s="30"/>
      <c r="F46" s="30"/>
      <c r="G46" s="30"/>
      <c r="H46" s="30"/>
      <c r="I46" s="30"/>
      <c r="J46" s="30"/>
      <c r="K46" s="30"/>
      <c r="L46" s="30"/>
      <c r="M46" s="30"/>
      <c r="N46" s="30"/>
      <c r="O46" s="30"/>
      <c r="P46" s="30"/>
      <c r="Q46" s="30"/>
      <c r="R46" s="30">
        <v>100</v>
      </c>
      <c r="S46" s="30"/>
      <c r="T46" s="30"/>
      <c r="U46" s="30"/>
      <c r="V46" s="30"/>
      <c r="W46" s="30"/>
      <c r="X46" s="30"/>
      <c r="Y46" s="148"/>
      <c r="Z46" s="150">
        <f t="shared" si="0"/>
        <v>100</v>
      </c>
    </row>
    <row r="47" spans="2:26" ht="12.9" thickBot="1" x14ac:dyDescent="0.35">
      <c r="B47" s="171" t="s">
        <v>166</v>
      </c>
      <c r="C47" s="156"/>
      <c r="D47" s="30"/>
      <c r="E47" s="30"/>
      <c r="F47" s="30"/>
      <c r="G47" s="30"/>
      <c r="H47" s="30"/>
      <c r="I47" s="30"/>
      <c r="J47" s="30"/>
      <c r="K47" s="30"/>
      <c r="L47" s="30"/>
      <c r="M47" s="30"/>
      <c r="N47" s="30"/>
      <c r="O47" s="30"/>
      <c r="P47" s="30"/>
      <c r="Q47" s="30"/>
      <c r="R47" s="30">
        <v>80.86</v>
      </c>
      <c r="S47" s="30"/>
      <c r="T47" s="30"/>
      <c r="U47" s="30"/>
      <c r="V47" s="30"/>
      <c r="W47" s="30"/>
      <c r="X47" s="30"/>
      <c r="Y47" s="148"/>
      <c r="Z47" s="150">
        <f t="shared" si="0"/>
        <v>80.86</v>
      </c>
    </row>
    <row r="48" spans="2:26" ht="12.9" thickBot="1" x14ac:dyDescent="0.35">
      <c r="B48" s="171" t="s">
        <v>99</v>
      </c>
      <c r="C48" s="156"/>
      <c r="D48" s="30"/>
      <c r="E48" s="30"/>
      <c r="F48" s="30"/>
      <c r="G48" s="30"/>
      <c r="H48" s="30"/>
      <c r="I48" s="30"/>
      <c r="J48" s="30"/>
      <c r="K48" s="30"/>
      <c r="L48" s="30"/>
      <c r="M48" s="30"/>
      <c r="N48" s="30"/>
      <c r="O48" s="30"/>
      <c r="P48" s="30"/>
      <c r="Q48" s="30"/>
      <c r="R48" s="30">
        <v>93.09</v>
      </c>
      <c r="S48" s="30"/>
      <c r="T48" s="30"/>
      <c r="U48" s="30"/>
      <c r="V48" s="30"/>
      <c r="W48" s="30"/>
      <c r="X48" s="30"/>
      <c r="Y48" s="148"/>
      <c r="Z48" s="150">
        <f t="shared" si="0"/>
        <v>93.09</v>
      </c>
    </row>
    <row r="49" spans="2:26" ht="12.9" thickBot="1" x14ac:dyDescent="0.35">
      <c r="B49" s="171" t="s">
        <v>89</v>
      </c>
      <c r="C49" s="156">
        <v>57.78</v>
      </c>
      <c r="D49" s="78"/>
      <c r="E49" s="30">
        <v>19.920000000000002</v>
      </c>
      <c r="F49" s="30"/>
      <c r="G49" s="30"/>
      <c r="H49" s="30"/>
      <c r="I49" s="30"/>
      <c r="J49" s="30"/>
      <c r="K49" s="30"/>
      <c r="L49" s="30"/>
      <c r="M49" s="30">
        <v>0.06</v>
      </c>
      <c r="N49" s="30">
        <v>0.23</v>
      </c>
      <c r="O49" s="30"/>
      <c r="P49" s="30"/>
      <c r="Q49" s="30"/>
      <c r="R49" s="30">
        <v>22.01</v>
      </c>
      <c r="S49" s="30"/>
      <c r="T49" s="30"/>
      <c r="U49" s="30"/>
      <c r="V49" s="30"/>
      <c r="W49" s="30"/>
      <c r="X49" s="30"/>
      <c r="Y49" s="148"/>
      <c r="Z49" s="150">
        <f t="shared" si="0"/>
        <v>100.00000000000001</v>
      </c>
    </row>
    <row r="50" spans="2:26" ht="12.9" thickBot="1" x14ac:dyDescent="0.35">
      <c r="B50" s="171" t="s">
        <v>136</v>
      </c>
      <c r="C50" s="156">
        <v>5</v>
      </c>
      <c r="D50" s="30"/>
      <c r="E50" s="30"/>
      <c r="F50" s="30"/>
      <c r="G50" s="30"/>
      <c r="H50" s="30"/>
      <c r="I50" s="30"/>
      <c r="J50" s="30"/>
      <c r="K50" s="30"/>
      <c r="L50" s="30"/>
      <c r="M50" s="30"/>
      <c r="N50" s="30"/>
      <c r="O50" s="30"/>
      <c r="P50" s="30"/>
      <c r="Q50" s="30"/>
      <c r="R50" s="30">
        <v>78.28</v>
      </c>
      <c r="S50" s="30"/>
      <c r="T50" s="30"/>
      <c r="U50" s="30"/>
      <c r="V50" s="30"/>
      <c r="W50" s="30"/>
      <c r="X50" s="30"/>
      <c r="Y50" s="148"/>
      <c r="Z50" s="150">
        <f t="shared" si="0"/>
        <v>83.28</v>
      </c>
    </row>
    <row r="51" spans="2:26" ht="12.9" thickBot="1" x14ac:dyDescent="0.35">
      <c r="B51" s="171" t="s">
        <v>137</v>
      </c>
      <c r="C51" s="156"/>
      <c r="D51" s="30"/>
      <c r="E51" s="30"/>
      <c r="F51" s="30"/>
      <c r="G51" s="30"/>
      <c r="H51" s="30"/>
      <c r="I51" s="30"/>
      <c r="J51" s="30"/>
      <c r="K51" s="30"/>
      <c r="L51" s="30"/>
      <c r="M51" s="30"/>
      <c r="N51" s="30"/>
      <c r="O51" s="30"/>
      <c r="P51" s="30"/>
      <c r="Q51" s="30"/>
      <c r="R51" s="30"/>
      <c r="S51" s="30"/>
      <c r="T51" s="30"/>
      <c r="U51" s="30"/>
      <c r="V51" s="30"/>
      <c r="W51" s="30"/>
      <c r="X51" s="30"/>
      <c r="Y51" s="148"/>
      <c r="Z51" s="150">
        <f t="shared" si="0"/>
        <v>0</v>
      </c>
    </row>
    <row r="52" spans="2:26" ht="12.9" thickBot="1" x14ac:dyDescent="0.35">
      <c r="B52" s="171" t="s">
        <v>85</v>
      </c>
      <c r="C52" s="156"/>
      <c r="D52" s="30"/>
      <c r="E52" s="30"/>
      <c r="F52" s="30"/>
      <c r="G52" s="30"/>
      <c r="H52" s="30"/>
      <c r="I52" s="30"/>
      <c r="J52" s="30"/>
      <c r="K52" s="30"/>
      <c r="L52" s="30"/>
      <c r="M52" s="30"/>
      <c r="N52" s="30"/>
      <c r="O52" s="30"/>
      <c r="P52" s="30"/>
      <c r="Q52" s="30"/>
      <c r="R52" s="30"/>
      <c r="S52" s="30">
        <v>100</v>
      </c>
      <c r="T52" s="30"/>
      <c r="U52" s="30"/>
      <c r="V52" s="30"/>
      <c r="W52" s="30"/>
      <c r="X52" s="30"/>
      <c r="Y52" s="148"/>
      <c r="Z52" s="150">
        <f t="shared" si="0"/>
        <v>100</v>
      </c>
    </row>
    <row r="53" spans="2:26" ht="12.9" thickBot="1" x14ac:dyDescent="0.35">
      <c r="B53" s="171" t="s">
        <v>167</v>
      </c>
      <c r="C53" s="156"/>
      <c r="D53" s="30"/>
      <c r="E53" s="30"/>
      <c r="F53" s="30"/>
      <c r="G53" s="30">
        <v>0</v>
      </c>
      <c r="H53" s="30"/>
      <c r="I53" s="30"/>
      <c r="J53" s="30"/>
      <c r="K53" s="30"/>
      <c r="L53" s="30"/>
      <c r="M53" s="30"/>
      <c r="N53" s="30"/>
      <c r="O53" s="30"/>
      <c r="P53" s="30"/>
      <c r="Q53" s="30"/>
      <c r="R53" s="30"/>
      <c r="S53" s="30">
        <v>81.5</v>
      </c>
      <c r="T53" s="30"/>
      <c r="U53" s="78"/>
      <c r="V53" s="78"/>
      <c r="W53" s="78"/>
      <c r="X53" s="78"/>
      <c r="Y53" s="148"/>
      <c r="Z53" s="150">
        <f t="shared" si="0"/>
        <v>81.5</v>
      </c>
    </row>
    <row r="54" spans="2:26" ht="12.9" thickBot="1" x14ac:dyDescent="0.35">
      <c r="B54" s="171" t="s">
        <v>168</v>
      </c>
      <c r="C54" s="156"/>
      <c r="D54" s="30"/>
      <c r="E54" s="30"/>
      <c r="F54" s="30"/>
      <c r="G54" s="30"/>
      <c r="H54" s="30"/>
      <c r="I54" s="30"/>
      <c r="J54" s="30"/>
      <c r="K54" s="30"/>
      <c r="L54" s="30"/>
      <c r="M54" s="30"/>
      <c r="N54" s="30"/>
      <c r="O54" s="30"/>
      <c r="P54" s="30"/>
      <c r="Q54" s="30"/>
      <c r="R54" s="30"/>
      <c r="S54" s="30">
        <v>61.62</v>
      </c>
      <c r="T54" s="30"/>
      <c r="U54" s="78"/>
      <c r="V54" s="78"/>
      <c r="W54" s="78"/>
      <c r="X54" s="78"/>
      <c r="Y54" s="148"/>
      <c r="Z54" s="150">
        <f t="shared" si="0"/>
        <v>61.62</v>
      </c>
    </row>
    <row r="55" spans="2:26" ht="12.9" thickBot="1" x14ac:dyDescent="0.35">
      <c r="B55" s="157" t="s">
        <v>94</v>
      </c>
      <c r="C55" s="156"/>
      <c r="D55" s="30"/>
      <c r="E55" s="30"/>
      <c r="F55" s="30"/>
      <c r="G55" s="30"/>
      <c r="H55" s="30"/>
      <c r="I55" s="30"/>
      <c r="J55" s="30"/>
      <c r="K55" s="30"/>
      <c r="L55" s="30"/>
      <c r="M55" s="30"/>
      <c r="N55" s="30"/>
      <c r="O55" s="30"/>
      <c r="P55" s="30"/>
      <c r="Q55" s="30"/>
      <c r="R55" s="30"/>
      <c r="S55" s="30"/>
      <c r="T55" s="30"/>
      <c r="U55" s="78"/>
      <c r="V55" s="78"/>
      <c r="W55" s="78"/>
      <c r="X55" s="78">
        <v>100</v>
      </c>
      <c r="Y55" s="148"/>
      <c r="Z55" s="150">
        <f t="shared" si="0"/>
        <v>100</v>
      </c>
    </row>
    <row r="56" spans="2:26" ht="12.9" thickBot="1" x14ac:dyDescent="0.35">
      <c r="B56" s="157" t="s">
        <v>92</v>
      </c>
      <c r="C56" s="156"/>
      <c r="D56" s="30"/>
      <c r="E56" s="30"/>
      <c r="F56" s="30"/>
      <c r="G56" s="30"/>
      <c r="H56" s="30"/>
      <c r="I56" s="30"/>
      <c r="J56" s="30"/>
      <c r="K56" s="30"/>
      <c r="L56" s="30"/>
      <c r="M56" s="30"/>
      <c r="N56" s="30"/>
      <c r="O56" s="30"/>
      <c r="P56" s="30"/>
      <c r="Q56" s="30"/>
      <c r="R56" s="30"/>
      <c r="S56" s="30"/>
      <c r="T56" s="30">
        <v>63</v>
      </c>
      <c r="U56" s="78"/>
      <c r="V56" s="78"/>
      <c r="W56" s="78"/>
      <c r="X56" s="78"/>
      <c r="Y56" s="148"/>
      <c r="Z56" s="150">
        <f t="shared" si="0"/>
        <v>63</v>
      </c>
    </row>
    <row r="57" spans="2:26" ht="12.9" thickBot="1" x14ac:dyDescent="0.35">
      <c r="B57" s="157" t="s">
        <v>93</v>
      </c>
      <c r="C57" s="156"/>
      <c r="D57" s="30"/>
      <c r="E57" s="30"/>
      <c r="F57" s="30"/>
      <c r="G57" s="30"/>
      <c r="H57" s="30"/>
      <c r="I57" s="30"/>
      <c r="J57" s="30"/>
      <c r="K57" s="30"/>
      <c r="L57" s="30"/>
      <c r="M57" s="30"/>
      <c r="N57" s="30"/>
      <c r="O57" s="30"/>
      <c r="P57" s="30"/>
      <c r="Q57" s="30"/>
      <c r="R57" s="30"/>
      <c r="S57" s="30"/>
      <c r="T57" s="30">
        <v>100</v>
      </c>
      <c r="U57" s="78"/>
      <c r="V57" s="78"/>
      <c r="W57" s="78"/>
      <c r="X57" s="78"/>
      <c r="Y57" s="148"/>
      <c r="Z57" s="150">
        <f t="shared" si="0"/>
        <v>100</v>
      </c>
    </row>
    <row r="58" spans="2:26" ht="12.9" thickBot="1" x14ac:dyDescent="0.35">
      <c r="B58" s="157" t="s">
        <v>91</v>
      </c>
      <c r="C58" s="156"/>
      <c r="D58" s="30"/>
      <c r="E58" s="30"/>
      <c r="F58" s="30"/>
      <c r="G58" s="30"/>
      <c r="H58" s="30"/>
      <c r="I58" s="30"/>
      <c r="J58" s="30"/>
      <c r="K58" s="109">
        <v>64.5</v>
      </c>
      <c r="L58" s="30"/>
      <c r="M58" s="30"/>
      <c r="N58" s="30"/>
      <c r="O58" s="30"/>
      <c r="P58" s="30"/>
      <c r="Q58" s="30"/>
      <c r="R58" s="30"/>
      <c r="S58" s="30"/>
      <c r="T58" s="30"/>
      <c r="U58" s="78"/>
      <c r="V58" s="78"/>
      <c r="W58" s="78"/>
      <c r="X58" s="78"/>
      <c r="Y58" s="148"/>
      <c r="Z58" s="150">
        <f t="shared" si="0"/>
        <v>64.5</v>
      </c>
    </row>
    <row r="59" spans="2:26" ht="12.9" thickBot="1" x14ac:dyDescent="0.35">
      <c r="B59" s="157" t="s">
        <v>83</v>
      </c>
      <c r="C59" s="156"/>
      <c r="D59" s="30"/>
      <c r="E59" s="30"/>
      <c r="F59" s="30"/>
      <c r="G59" s="30"/>
      <c r="H59" s="30"/>
      <c r="I59" s="30"/>
      <c r="J59" s="30"/>
      <c r="K59" s="30">
        <v>100</v>
      </c>
      <c r="L59" s="30"/>
      <c r="M59" s="30"/>
      <c r="N59" s="30"/>
      <c r="O59" s="30"/>
      <c r="P59" s="30"/>
      <c r="Q59" s="30"/>
      <c r="R59" s="30"/>
      <c r="S59" s="30"/>
      <c r="T59" s="30"/>
      <c r="U59" s="78"/>
      <c r="V59" s="78"/>
      <c r="W59" s="78"/>
      <c r="X59" s="78"/>
      <c r="Y59" s="148"/>
      <c r="Z59" s="150">
        <f t="shared" si="0"/>
        <v>100</v>
      </c>
    </row>
    <row r="60" spans="2:26" ht="12.9" thickBot="1" x14ac:dyDescent="0.35">
      <c r="B60" s="157" t="s">
        <v>98</v>
      </c>
      <c r="C60" s="156"/>
      <c r="D60" s="30"/>
      <c r="E60" s="30"/>
      <c r="F60" s="30"/>
      <c r="G60" s="30"/>
      <c r="H60" s="30"/>
      <c r="I60" s="30"/>
      <c r="J60" s="30"/>
      <c r="K60" s="30">
        <v>100</v>
      </c>
      <c r="L60" s="30"/>
      <c r="M60" s="30"/>
      <c r="N60" s="30"/>
      <c r="O60" s="30"/>
      <c r="P60" s="30"/>
      <c r="Q60" s="30"/>
      <c r="R60" s="30"/>
      <c r="S60" s="30"/>
      <c r="T60" s="30"/>
      <c r="U60" s="78"/>
      <c r="V60" s="78"/>
      <c r="W60" s="78"/>
      <c r="X60" s="78"/>
      <c r="Y60" s="148"/>
      <c r="Z60" s="150">
        <f t="shared" si="0"/>
        <v>100</v>
      </c>
    </row>
    <row r="61" spans="2:26" ht="25.3" thickBot="1" x14ac:dyDescent="0.35">
      <c r="B61" s="157" t="s">
        <v>96</v>
      </c>
      <c r="C61" s="156"/>
      <c r="D61" s="30"/>
      <c r="E61" s="30"/>
      <c r="F61" s="30"/>
      <c r="G61">
        <v>62.93</v>
      </c>
      <c r="H61" s="30"/>
      <c r="I61" s="30"/>
      <c r="J61" s="30"/>
      <c r="K61" s="30"/>
      <c r="L61" s="30"/>
      <c r="M61" s="30"/>
      <c r="N61" s="30"/>
      <c r="O61" s="30"/>
      <c r="P61" s="30"/>
      <c r="Q61" s="30"/>
      <c r="R61" s="30"/>
      <c r="S61" s="30"/>
      <c r="T61" s="30"/>
      <c r="U61" s="78"/>
      <c r="V61" s="78"/>
      <c r="W61" s="78"/>
      <c r="X61" s="78"/>
      <c r="Y61" s="148"/>
      <c r="Z61" s="150">
        <f t="shared" si="0"/>
        <v>62.93</v>
      </c>
    </row>
    <row r="62" spans="2:26" ht="12.9" thickBot="1" x14ac:dyDescent="0.35">
      <c r="B62" s="157" t="s">
        <v>97</v>
      </c>
      <c r="C62" s="156"/>
      <c r="D62" s="30"/>
      <c r="E62" s="30"/>
      <c r="F62" s="30"/>
      <c r="G62" s="30">
        <v>100</v>
      </c>
      <c r="H62" s="30"/>
      <c r="I62" s="30"/>
      <c r="J62" s="30"/>
      <c r="K62" s="30"/>
      <c r="L62" s="30"/>
      <c r="M62" s="30"/>
      <c r="N62" s="30"/>
      <c r="O62" s="30"/>
      <c r="P62" s="30"/>
      <c r="Q62" s="30"/>
      <c r="R62" s="30"/>
      <c r="S62" s="30"/>
      <c r="T62" s="30"/>
      <c r="U62" s="78"/>
      <c r="V62" s="78"/>
      <c r="W62" s="78"/>
      <c r="X62" s="78"/>
      <c r="Y62" s="148"/>
      <c r="Z62" s="150">
        <f t="shared" si="0"/>
        <v>100</v>
      </c>
    </row>
    <row r="63" spans="2:26" ht="13.5" customHeight="1" thickBot="1" x14ac:dyDescent="0.35">
      <c r="B63" s="157" t="s">
        <v>88</v>
      </c>
      <c r="C63" s="156"/>
      <c r="D63" s="30"/>
      <c r="E63" s="30"/>
      <c r="F63" s="30"/>
      <c r="G63" s="30"/>
      <c r="H63" s="30"/>
      <c r="I63" s="30"/>
      <c r="J63" s="30"/>
      <c r="K63" s="30"/>
      <c r="L63" s="30"/>
      <c r="M63" s="30"/>
      <c r="N63" s="30"/>
      <c r="O63" s="30"/>
      <c r="P63" s="30"/>
      <c r="Q63" s="30"/>
      <c r="R63" s="30"/>
      <c r="S63" s="30"/>
      <c r="T63" s="30"/>
      <c r="U63" s="78"/>
      <c r="V63" s="78">
        <v>100</v>
      </c>
      <c r="W63" s="78"/>
      <c r="X63" s="78"/>
      <c r="Y63" s="148"/>
      <c r="Z63" s="150">
        <f t="shared" si="0"/>
        <v>100</v>
      </c>
    </row>
    <row r="64" spans="2:26" ht="12.9" thickBot="1" x14ac:dyDescent="0.35">
      <c r="B64" s="157" t="s">
        <v>169</v>
      </c>
      <c r="C64" s="156"/>
      <c r="D64" s="30"/>
      <c r="E64" s="30"/>
      <c r="F64" s="30"/>
      <c r="G64" s="30"/>
      <c r="H64" s="30"/>
      <c r="I64" s="30"/>
      <c r="J64" s="30"/>
      <c r="K64" s="30"/>
      <c r="L64" s="30">
        <v>76.400000000000006</v>
      </c>
      <c r="M64" s="30"/>
      <c r="N64" s="30"/>
      <c r="O64" s="30"/>
      <c r="P64" s="30"/>
      <c r="Q64" s="30"/>
      <c r="R64" s="30"/>
      <c r="S64" s="30"/>
      <c r="T64" s="30"/>
      <c r="U64" s="78"/>
      <c r="V64" s="78"/>
      <c r="W64" s="78"/>
      <c r="X64" s="78"/>
      <c r="Y64" s="148"/>
      <c r="Z64" s="150">
        <f t="shared" si="0"/>
        <v>76.400000000000006</v>
      </c>
    </row>
    <row r="65" spans="2:26" ht="12.9" thickBot="1" x14ac:dyDescent="0.35">
      <c r="B65" s="157" t="s">
        <v>191</v>
      </c>
      <c r="C65" s="156"/>
      <c r="D65" s="30"/>
      <c r="E65" s="30"/>
      <c r="F65" s="30"/>
      <c r="G65" s="30"/>
      <c r="H65" s="30"/>
      <c r="I65" s="30"/>
      <c r="J65" s="30"/>
      <c r="K65" s="30"/>
      <c r="L65" s="30"/>
      <c r="M65" s="30"/>
      <c r="N65" s="30"/>
      <c r="O65" s="30"/>
      <c r="P65" s="30"/>
      <c r="Q65" s="30"/>
      <c r="R65" s="30"/>
      <c r="S65" s="30"/>
      <c r="T65" s="30"/>
      <c r="U65" s="78"/>
      <c r="V65" s="78"/>
      <c r="W65" s="78"/>
      <c r="X65" s="78"/>
      <c r="Y65" s="148"/>
      <c r="Z65" s="150"/>
    </row>
    <row r="66" spans="2:26" ht="12.9" thickBot="1" x14ac:dyDescent="0.35">
      <c r="B66" s="157" t="s">
        <v>76</v>
      </c>
      <c r="C66" s="156">
        <v>32.79</v>
      </c>
      <c r="D66" s="30"/>
      <c r="E66" s="30"/>
      <c r="F66" s="30"/>
      <c r="G66" s="30"/>
      <c r="H66" s="30"/>
      <c r="I66" s="30"/>
      <c r="J66" s="30"/>
      <c r="K66" s="30"/>
      <c r="L66" s="30"/>
      <c r="M66" s="30"/>
      <c r="N66" s="30"/>
      <c r="O66" s="30"/>
      <c r="P66" s="30"/>
      <c r="Q66" s="30"/>
      <c r="R66" s="30"/>
      <c r="S66" s="30"/>
      <c r="T66" s="30"/>
      <c r="U66" s="78"/>
      <c r="V66" s="78"/>
      <c r="W66" s="78"/>
      <c r="X66" s="78"/>
      <c r="Y66" s="148">
        <v>67.209999999999994</v>
      </c>
      <c r="Z66" s="150">
        <f t="shared" si="0"/>
        <v>100</v>
      </c>
    </row>
    <row r="67" spans="2:26" ht="12.9" thickBot="1" x14ac:dyDescent="0.35">
      <c r="B67" s="164" t="s">
        <v>151</v>
      </c>
      <c r="C67" s="156">
        <v>45</v>
      </c>
      <c r="D67" s="30">
        <v>23.8</v>
      </c>
      <c r="E67" s="30">
        <v>0.8</v>
      </c>
      <c r="F67" s="30"/>
      <c r="G67" s="30"/>
      <c r="H67" s="30"/>
      <c r="I67" s="30">
        <v>10.4</v>
      </c>
      <c r="J67" s="30"/>
      <c r="K67" s="30"/>
      <c r="L67" s="30"/>
      <c r="M67" s="30"/>
      <c r="N67" s="30">
        <v>20</v>
      </c>
      <c r="O67" s="30"/>
      <c r="P67" s="30"/>
      <c r="Q67" s="30"/>
      <c r="R67" s="30"/>
      <c r="S67" s="30"/>
      <c r="T67" s="30"/>
      <c r="U67" s="30"/>
      <c r="V67" s="30"/>
      <c r="W67" s="30"/>
      <c r="X67" s="30"/>
      <c r="Y67" s="148"/>
      <c r="Z67" s="150">
        <f t="shared" si="0"/>
        <v>100</v>
      </c>
    </row>
    <row r="68" spans="2:26" ht="12.9" thickBot="1" x14ac:dyDescent="0.35">
      <c r="B68" s="164" t="s">
        <v>152</v>
      </c>
      <c r="C68" s="156">
        <v>50.35</v>
      </c>
      <c r="D68" s="30">
        <v>18.5</v>
      </c>
      <c r="E68" s="30">
        <v>4.5</v>
      </c>
      <c r="F68" s="30"/>
      <c r="G68" s="30"/>
      <c r="H68" s="30"/>
      <c r="I68" s="30">
        <v>8.5</v>
      </c>
      <c r="J68" s="30">
        <v>0.15</v>
      </c>
      <c r="K68" s="30"/>
      <c r="L68" s="30"/>
      <c r="M68" s="30"/>
      <c r="N68" s="30">
        <v>18</v>
      </c>
      <c r="O68" s="30"/>
      <c r="P68" s="30"/>
      <c r="Q68" s="30"/>
      <c r="R68" s="30"/>
      <c r="S68" s="30"/>
      <c r="T68" s="30"/>
      <c r="U68" s="30"/>
      <c r="V68" s="30"/>
      <c r="W68" s="30"/>
      <c r="X68" s="30"/>
      <c r="Y68" s="148"/>
      <c r="Z68" s="150">
        <f t="shared" si="0"/>
        <v>100</v>
      </c>
    </row>
    <row r="69" spans="2:26" ht="12.9" thickBot="1" x14ac:dyDescent="0.35">
      <c r="B69" s="169" t="s">
        <v>195</v>
      </c>
      <c r="C69" s="156">
        <v>59.5</v>
      </c>
      <c r="D69" s="30">
        <v>8.9</v>
      </c>
      <c r="E69" s="30">
        <v>6.8</v>
      </c>
      <c r="F69" s="30"/>
      <c r="G69" s="30"/>
      <c r="H69" s="30"/>
      <c r="I69" s="30">
        <v>2.6</v>
      </c>
      <c r="J69" s="30">
        <v>2.4</v>
      </c>
      <c r="K69" s="30"/>
      <c r="L69" s="30"/>
      <c r="M69" s="30"/>
      <c r="N69" s="30">
        <v>11.8</v>
      </c>
      <c r="O69" s="30">
        <v>8</v>
      </c>
      <c r="P69" s="30"/>
      <c r="Q69" s="30"/>
      <c r="R69" s="30"/>
      <c r="S69" s="30"/>
      <c r="T69" s="30"/>
      <c r="U69" s="30"/>
      <c r="V69" s="30"/>
      <c r="W69" s="30"/>
      <c r="X69" s="30"/>
      <c r="Y69" s="148"/>
      <c r="Z69" s="150">
        <f>SUM(C69:Y69)</f>
        <v>100</v>
      </c>
    </row>
    <row r="70" spans="2:26" ht="12.9" thickBot="1" x14ac:dyDescent="0.35">
      <c r="B70" s="171" t="s">
        <v>153</v>
      </c>
      <c r="C70" s="156">
        <v>51.23</v>
      </c>
      <c r="D70" s="30">
        <v>15.06</v>
      </c>
      <c r="E70" s="30">
        <v>12.4</v>
      </c>
      <c r="F70" s="30"/>
      <c r="G70" s="30"/>
      <c r="H70" s="30"/>
      <c r="I70" s="30">
        <v>10.97</v>
      </c>
      <c r="J70" s="30">
        <v>7.42</v>
      </c>
      <c r="K70" s="30"/>
      <c r="L70" s="30"/>
      <c r="M70" s="30"/>
      <c r="N70" s="30">
        <v>0.41</v>
      </c>
      <c r="O70" s="30"/>
      <c r="P70" s="30"/>
      <c r="Q70" s="30"/>
      <c r="R70" s="30"/>
      <c r="S70" s="30"/>
      <c r="T70" s="30"/>
      <c r="U70" s="30"/>
      <c r="V70" s="30"/>
      <c r="W70" s="30"/>
      <c r="X70" s="30"/>
      <c r="Y70" s="148"/>
      <c r="Z70" s="150">
        <f t="shared" si="0"/>
        <v>97.49</v>
      </c>
    </row>
    <row r="71" spans="2:26" ht="12.9" thickBot="1" x14ac:dyDescent="0.35">
      <c r="B71" s="163" t="s">
        <v>154</v>
      </c>
      <c r="C71" s="156">
        <v>42.1</v>
      </c>
      <c r="D71" s="30">
        <v>28.9</v>
      </c>
      <c r="E71" s="30">
        <v>13.3</v>
      </c>
      <c r="F71" s="30"/>
      <c r="G71" s="30"/>
      <c r="H71" s="30"/>
      <c r="I71" s="30"/>
      <c r="J71" s="30"/>
      <c r="K71" s="30"/>
      <c r="L71" s="30"/>
      <c r="M71" s="30">
        <v>12.2</v>
      </c>
      <c r="N71" s="30">
        <v>3.5</v>
      </c>
      <c r="O71" s="30"/>
      <c r="P71" s="30"/>
      <c r="Q71" s="30"/>
      <c r="R71" s="30"/>
      <c r="S71" s="30"/>
      <c r="T71" s="30"/>
      <c r="U71" s="30"/>
      <c r="V71" s="30"/>
      <c r="W71" s="30"/>
      <c r="X71" s="30"/>
      <c r="Y71" s="148"/>
      <c r="Z71" s="150">
        <f t="shared" ref="Z71:Z118" si="2">SUM(C71:Y71)</f>
        <v>100</v>
      </c>
    </row>
    <row r="72" spans="2:26" ht="12.9" thickBot="1" x14ac:dyDescent="0.35">
      <c r="B72" s="169" t="s">
        <v>155</v>
      </c>
      <c r="C72" s="156"/>
      <c r="D72" s="30">
        <v>55.4</v>
      </c>
      <c r="E72" s="30"/>
      <c r="F72" s="30"/>
      <c r="G72" s="30"/>
      <c r="H72" s="30"/>
      <c r="I72" s="30"/>
      <c r="J72" s="30"/>
      <c r="K72" s="30"/>
      <c r="L72" s="30"/>
      <c r="M72" s="30"/>
      <c r="N72" s="30">
        <v>44.6</v>
      </c>
      <c r="O72" s="30"/>
      <c r="P72" s="30"/>
      <c r="Q72" s="30"/>
      <c r="R72" s="30"/>
      <c r="S72" s="30"/>
      <c r="T72" s="30"/>
      <c r="U72" s="30"/>
      <c r="V72" s="30"/>
      <c r="W72" s="30"/>
      <c r="X72" s="30"/>
      <c r="Y72" s="148"/>
      <c r="Z72" s="150">
        <f t="shared" si="2"/>
        <v>100</v>
      </c>
    </row>
    <row r="73" spans="2:26" ht="12.9" thickBot="1" x14ac:dyDescent="0.35">
      <c r="B73" s="163" t="s">
        <v>156</v>
      </c>
      <c r="C73" s="156">
        <v>54.1</v>
      </c>
      <c r="D73" s="30">
        <v>38.200000000000003</v>
      </c>
      <c r="E73" s="30"/>
      <c r="F73" s="30"/>
      <c r="G73" s="30"/>
      <c r="H73" s="30"/>
      <c r="I73" s="30">
        <v>7.7</v>
      </c>
      <c r="J73" s="30"/>
      <c r="K73" s="30"/>
      <c r="L73" s="30"/>
      <c r="M73" s="30"/>
      <c r="N73" s="30"/>
      <c r="O73" s="30"/>
      <c r="P73" s="30"/>
      <c r="Q73" s="30"/>
      <c r="R73" s="30"/>
      <c r="S73" s="30"/>
      <c r="T73" s="30"/>
      <c r="U73" s="30"/>
      <c r="V73" s="30"/>
      <c r="W73" s="30"/>
      <c r="X73" s="30"/>
      <c r="Y73" s="148"/>
      <c r="Z73" s="150">
        <f t="shared" si="2"/>
        <v>100.00000000000001</v>
      </c>
    </row>
    <row r="74" spans="2:26" ht="12.9" thickBot="1" x14ac:dyDescent="0.35">
      <c r="B74" s="163" t="s">
        <v>182</v>
      </c>
      <c r="C74" s="156">
        <v>76.5</v>
      </c>
      <c r="D74" s="30"/>
      <c r="E74" s="30">
        <v>5.5</v>
      </c>
      <c r="F74" s="30"/>
      <c r="G74" s="30"/>
      <c r="H74" s="30"/>
      <c r="I74" s="30">
        <v>17</v>
      </c>
      <c r="J74" s="30"/>
      <c r="K74" s="30"/>
      <c r="L74" s="30"/>
      <c r="M74" s="30">
        <v>0.5</v>
      </c>
      <c r="N74" s="30"/>
      <c r="O74" s="30"/>
      <c r="P74" s="30"/>
      <c r="Q74" s="30"/>
      <c r="R74" s="30"/>
      <c r="S74" s="30"/>
      <c r="T74" s="30"/>
      <c r="U74" s="30"/>
      <c r="V74" s="30"/>
      <c r="W74" s="30"/>
      <c r="X74" s="30"/>
      <c r="Y74" s="148"/>
      <c r="Z74" s="150">
        <f t="shared" si="2"/>
        <v>99.5</v>
      </c>
    </row>
    <row r="75" spans="2:26" ht="12.9" thickBot="1" x14ac:dyDescent="0.35">
      <c r="B75" s="163" t="s">
        <v>192</v>
      </c>
      <c r="C75" s="156">
        <v>19</v>
      </c>
      <c r="D75" s="30">
        <v>29.8</v>
      </c>
      <c r="E75" s="30">
        <v>3.2</v>
      </c>
      <c r="F75" s="30"/>
      <c r="G75" s="30"/>
      <c r="H75" s="30"/>
      <c r="I75" s="30">
        <v>3</v>
      </c>
      <c r="J75" s="30">
        <v>3</v>
      </c>
      <c r="K75" s="30"/>
      <c r="L75" s="30"/>
      <c r="M75" s="30"/>
      <c r="N75" s="30"/>
      <c r="O75" s="30"/>
      <c r="P75" s="30"/>
      <c r="Q75" s="30">
        <v>42</v>
      </c>
      <c r="R75" s="30"/>
      <c r="S75" s="30"/>
      <c r="T75" s="30"/>
      <c r="U75" s="30"/>
      <c r="V75" s="30"/>
      <c r="W75" s="30"/>
      <c r="X75" s="30"/>
      <c r="Y75" s="148"/>
      <c r="Z75" s="150">
        <f>SUM(C75:Y75)</f>
        <v>100</v>
      </c>
    </row>
    <row r="76" spans="2:26" ht="12.9" thickBot="1" x14ac:dyDescent="0.35">
      <c r="B76" s="163" t="s">
        <v>185</v>
      </c>
      <c r="C76" s="156">
        <v>19.84</v>
      </c>
      <c r="D76" s="30"/>
      <c r="E76" s="30">
        <v>1.44</v>
      </c>
      <c r="F76" s="30"/>
      <c r="G76" s="30"/>
      <c r="H76" s="30"/>
      <c r="I76" s="30">
        <v>6.82</v>
      </c>
      <c r="J76" s="30">
        <v>22.07</v>
      </c>
      <c r="K76" s="30"/>
      <c r="L76" s="30"/>
      <c r="M76" s="30">
        <v>6.64</v>
      </c>
      <c r="N76" s="30">
        <v>20.84</v>
      </c>
      <c r="O76" s="30"/>
      <c r="P76" s="30"/>
      <c r="Q76" s="30"/>
      <c r="R76" s="30">
        <v>8.7200000000000006</v>
      </c>
      <c r="S76" s="30"/>
      <c r="T76" s="30"/>
      <c r="U76" s="30"/>
      <c r="V76" s="30"/>
      <c r="W76" s="30">
        <v>13.63</v>
      </c>
      <c r="X76" s="30"/>
      <c r="Y76" s="148"/>
      <c r="Z76" s="150">
        <f t="shared" si="2"/>
        <v>100</v>
      </c>
    </row>
    <row r="77" spans="2:26" ht="12.9" thickBot="1" x14ac:dyDescent="0.35">
      <c r="B77" s="167" t="s">
        <v>75</v>
      </c>
      <c r="C77" s="156">
        <v>18.68</v>
      </c>
      <c r="D77" s="30">
        <v>27.47</v>
      </c>
      <c r="E77" s="30">
        <v>8.09</v>
      </c>
      <c r="F77" s="30">
        <v>0.05</v>
      </c>
      <c r="G77" s="30"/>
      <c r="H77" s="30"/>
      <c r="I77" s="30">
        <v>4</v>
      </c>
      <c r="J77" s="30">
        <v>1.4</v>
      </c>
      <c r="K77" s="30"/>
      <c r="L77" s="30"/>
      <c r="M77" s="30">
        <v>2.2999999999999998</v>
      </c>
      <c r="N77" s="30">
        <v>18.88</v>
      </c>
      <c r="O77" s="30">
        <v>0</v>
      </c>
      <c r="P77" s="30">
        <v>0</v>
      </c>
      <c r="Q77" s="30"/>
      <c r="R77" s="30">
        <v>0.1</v>
      </c>
      <c r="S77" s="30"/>
      <c r="T77" s="30"/>
      <c r="U77" s="30"/>
      <c r="V77" s="30"/>
      <c r="W77" s="30"/>
      <c r="X77" s="30"/>
      <c r="Y77" s="148"/>
      <c r="Z77" s="150">
        <f t="shared" si="2"/>
        <v>80.969999999999985</v>
      </c>
    </row>
    <row r="78" spans="2:26" ht="12.9" thickBot="1" x14ac:dyDescent="0.35">
      <c r="B78" s="169" t="s">
        <v>194</v>
      </c>
      <c r="C78" s="156">
        <v>11.798</v>
      </c>
      <c r="D78" s="30">
        <v>24.494</v>
      </c>
      <c r="E78" s="30">
        <v>1.67</v>
      </c>
      <c r="F78" s="30"/>
      <c r="G78" s="30"/>
      <c r="H78" s="30"/>
      <c r="I78" s="30">
        <v>3.7679999999999998</v>
      </c>
      <c r="J78" s="30"/>
      <c r="K78" s="30"/>
      <c r="L78" s="30"/>
      <c r="M78" s="30">
        <v>3.8980000000000001</v>
      </c>
      <c r="N78" s="30">
        <v>22.994</v>
      </c>
      <c r="O78" s="30">
        <v>0.45</v>
      </c>
      <c r="P78" s="30"/>
      <c r="Q78" s="30"/>
      <c r="R78" s="30"/>
      <c r="S78" s="30"/>
      <c r="T78" s="30"/>
      <c r="U78" s="30"/>
      <c r="V78" s="30"/>
      <c r="W78" s="30"/>
      <c r="X78" s="30"/>
      <c r="Y78" s="148"/>
      <c r="Z78" s="150"/>
    </row>
    <row r="79" spans="2:26" ht="12.9" thickBot="1" x14ac:dyDescent="0.35">
      <c r="B79" s="169" t="s">
        <v>115</v>
      </c>
      <c r="C79" s="156">
        <v>0.5</v>
      </c>
      <c r="D79" s="30">
        <v>47</v>
      </c>
      <c r="E79" s="30">
        <v>0.1</v>
      </c>
      <c r="F79" s="30"/>
      <c r="G79" s="30"/>
      <c r="H79" s="30"/>
      <c r="I79" s="30">
        <v>0.1</v>
      </c>
      <c r="J79" s="30">
        <v>0.01</v>
      </c>
      <c r="K79" s="30"/>
      <c r="L79" s="30"/>
      <c r="M79" s="30">
        <v>0.24</v>
      </c>
      <c r="N79" s="30">
        <v>26</v>
      </c>
      <c r="O79" s="30">
        <v>0.03</v>
      </c>
      <c r="P79" s="30"/>
      <c r="Q79" s="30"/>
      <c r="R79" s="30"/>
      <c r="S79" s="30"/>
      <c r="T79" s="30"/>
      <c r="U79" s="30"/>
      <c r="V79" s="30"/>
      <c r="W79" s="30"/>
      <c r="X79" s="30"/>
      <c r="Y79" s="148"/>
      <c r="Z79" s="150">
        <f t="shared" si="2"/>
        <v>73.98</v>
      </c>
    </row>
    <row r="80" spans="2:26" ht="12.9" thickBot="1" x14ac:dyDescent="0.35">
      <c r="B80" s="166" t="s">
        <v>116</v>
      </c>
      <c r="C80" s="156">
        <v>50</v>
      </c>
      <c r="D80" s="30">
        <v>20</v>
      </c>
      <c r="E80" s="30">
        <v>11</v>
      </c>
      <c r="F80" s="30">
        <v>0.5</v>
      </c>
      <c r="G80" s="30"/>
      <c r="H80" s="30"/>
      <c r="I80" s="30">
        <v>2.5</v>
      </c>
      <c r="J80" s="30">
        <v>3</v>
      </c>
      <c r="K80" s="30"/>
      <c r="L80" s="30"/>
      <c r="M80" s="30">
        <v>1</v>
      </c>
      <c r="N80" s="30">
        <v>9</v>
      </c>
      <c r="O80" s="30">
        <v>3</v>
      </c>
      <c r="P80" s="30"/>
      <c r="Q80" s="30"/>
      <c r="R80" s="30"/>
      <c r="S80" s="30"/>
      <c r="T80" s="30"/>
      <c r="U80" s="30"/>
      <c r="V80" s="30"/>
      <c r="W80" s="30"/>
      <c r="X80" s="30"/>
      <c r="Y80" s="148"/>
      <c r="Z80" s="150">
        <f t="shared" si="2"/>
        <v>100</v>
      </c>
    </row>
    <row r="81" spans="2:26" ht="12.9" thickBot="1" x14ac:dyDescent="0.35">
      <c r="B81" s="171" t="s">
        <v>117</v>
      </c>
      <c r="C81" s="156"/>
      <c r="D81" s="30">
        <v>62.09</v>
      </c>
      <c r="E81" s="30"/>
      <c r="F81" s="30"/>
      <c r="G81" s="30"/>
      <c r="H81" s="30"/>
      <c r="I81" s="30"/>
      <c r="J81" s="30"/>
      <c r="K81" s="30"/>
      <c r="L81" s="30"/>
      <c r="M81" s="30"/>
      <c r="N81" s="30">
        <v>16.600000000000001</v>
      </c>
      <c r="O81" s="30"/>
      <c r="P81" s="30"/>
      <c r="Q81" s="30"/>
      <c r="R81" s="30"/>
      <c r="S81" s="30"/>
      <c r="T81" s="30"/>
      <c r="U81" s="30"/>
      <c r="V81" s="30"/>
      <c r="W81" s="30"/>
      <c r="X81" s="30"/>
      <c r="Y81" s="148"/>
      <c r="Z81" s="150">
        <f t="shared" si="2"/>
        <v>78.69</v>
      </c>
    </row>
    <row r="82" spans="2:26" ht="12.9" thickBot="1" x14ac:dyDescent="0.35">
      <c r="B82" s="165" t="s">
        <v>74</v>
      </c>
      <c r="C82" s="156">
        <v>0.23</v>
      </c>
      <c r="D82" s="30">
        <v>13.42</v>
      </c>
      <c r="E82" s="30">
        <v>0.05</v>
      </c>
      <c r="F82" s="30"/>
      <c r="G82" s="30"/>
      <c r="H82" s="30"/>
      <c r="I82" s="30">
        <v>20.27</v>
      </c>
      <c r="J82" s="30">
        <v>0.02</v>
      </c>
      <c r="K82" s="30"/>
      <c r="L82" s="30"/>
      <c r="M82" s="30">
        <v>0.01</v>
      </c>
      <c r="N82" s="30">
        <v>0.01</v>
      </c>
      <c r="O82" s="30">
        <v>1E-3</v>
      </c>
      <c r="P82" s="30">
        <v>1.4E-3</v>
      </c>
      <c r="Q82" s="30"/>
      <c r="R82" s="30"/>
      <c r="S82" s="30"/>
      <c r="T82" s="30"/>
      <c r="U82" s="30"/>
      <c r="V82" s="30"/>
      <c r="W82" s="30"/>
      <c r="X82" s="30"/>
      <c r="Y82" s="148"/>
      <c r="Z82" s="150">
        <f t="shared" si="2"/>
        <v>34.012399999999992</v>
      </c>
    </row>
    <row r="83" spans="2:26" ht="12.9" thickBot="1" x14ac:dyDescent="0.35">
      <c r="B83" s="165" t="s">
        <v>41</v>
      </c>
      <c r="C83" s="156">
        <v>0.16</v>
      </c>
      <c r="D83" s="30">
        <v>16.98</v>
      </c>
      <c r="E83" s="30">
        <v>0.03</v>
      </c>
      <c r="F83" s="30">
        <v>0.01</v>
      </c>
      <c r="G83" s="30"/>
      <c r="H83" s="30"/>
      <c r="I83" s="30">
        <v>0.01</v>
      </c>
      <c r="J83" s="30">
        <v>0.02</v>
      </c>
      <c r="K83" s="30"/>
      <c r="L83" s="30"/>
      <c r="M83" s="30">
        <v>0.05</v>
      </c>
      <c r="N83" s="30">
        <v>0.04</v>
      </c>
      <c r="O83" s="30">
        <v>1.8E-3</v>
      </c>
      <c r="P83" s="30">
        <v>2.8999999999999998E-3</v>
      </c>
      <c r="Q83" s="30"/>
      <c r="R83" s="30">
        <v>0.04</v>
      </c>
      <c r="S83" s="30"/>
      <c r="T83" s="30"/>
      <c r="U83" s="30"/>
      <c r="V83" s="30"/>
      <c r="W83" s="30"/>
      <c r="X83" s="30"/>
      <c r="Y83" s="148"/>
      <c r="Z83" s="150">
        <f t="shared" si="2"/>
        <v>17.344700000000003</v>
      </c>
    </row>
    <row r="84" spans="2:26" ht="12.9" thickBot="1" x14ac:dyDescent="0.35">
      <c r="B84" s="171" t="s">
        <v>50</v>
      </c>
      <c r="C84" s="156">
        <v>75.47</v>
      </c>
      <c r="D84" s="30"/>
      <c r="E84" s="30">
        <v>16.100000000000001</v>
      </c>
      <c r="F84" s="30">
        <v>0.01</v>
      </c>
      <c r="G84" s="30"/>
      <c r="H84" s="30">
        <v>2.25</v>
      </c>
      <c r="I84" s="30">
        <v>0.28000000000000003</v>
      </c>
      <c r="J84" s="30">
        <v>0.15</v>
      </c>
      <c r="K84" s="30"/>
      <c r="L84" s="30"/>
      <c r="M84" s="30">
        <v>0.05</v>
      </c>
      <c r="N84" s="30">
        <v>0.11</v>
      </c>
      <c r="O84" s="30">
        <v>1.9000000000000002E-3</v>
      </c>
      <c r="P84" s="30">
        <v>5.0000000000000001E-4</v>
      </c>
      <c r="Q84" s="30"/>
      <c r="R84" s="30">
        <v>0.06</v>
      </c>
      <c r="S84" s="30"/>
      <c r="T84" s="30"/>
      <c r="U84" s="30"/>
      <c r="V84" s="30"/>
      <c r="W84" s="30"/>
      <c r="X84" s="30"/>
      <c r="Y84" s="148"/>
      <c r="Z84" s="150">
        <f t="shared" si="2"/>
        <v>94.482400000000013</v>
      </c>
    </row>
    <row r="85" spans="2:26" ht="12.9" thickBot="1" x14ac:dyDescent="0.35">
      <c r="B85" s="165" t="s">
        <v>128</v>
      </c>
      <c r="C85" s="156">
        <v>64.849999999999994</v>
      </c>
      <c r="D85" s="30"/>
      <c r="E85" s="30">
        <v>18.059999999999999</v>
      </c>
      <c r="F85" s="30"/>
      <c r="G85" s="30"/>
      <c r="H85" s="30"/>
      <c r="I85" s="30">
        <v>1.25</v>
      </c>
      <c r="J85" s="30">
        <v>13.18</v>
      </c>
      <c r="K85" s="30"/>
      <c r="L85" s="30"/>
      <c r="M85" s="30">
        <v>0.3</v>
      </c>
      <c r="N85" s="30">
        <v>0.14000000000000001</v>
      </c>
      <c r="O85" s="30"/>
      <c r="P85" s="30"/>
      <c r="Q85" s="30"/>
      <c r="R85" s="30">
        <v>7.0000000000000007E-2</v>
      </c>
      <c r="S85" s="30"/>
      <c r="T85" s="30"/>
      <c r="U85" s="30"/>
      <c r="V85" s="30"/>
      <c r="W85" s="30"/>
      <c r="X85" s="30"/>
      <c r="Y85" s="148"/>
      <c r="Z85" s="150">
        <f t="shared" si="2"/>
        <v>97.85</v>
      </c>
    </row>
    <row r="86" spans="2:26" ht="14.15" customHeight="1" thickBot="1" x14ac:dyDescent="0.35">
      <c r="B86" s="165" t="s">
        <v>46</v>
      </c>
      <c r="C86" s="156">
        <v>77.150000000000006</v>
      </c>
      <c r="D86" s="30"/>
      <c r="E86" s="30">
        <v>12.92</v>
      </c>
      <c r="F86" s="30">
        <v>0.37</v>
      </c>
      <c r="G86" s="30"/>
      <c r="H86" s="30"/>
      <c r="I86" s="30">
        <v>1.5</v>
      </c>
      <c r="J86" s="30">
        <v>4.9000000000000004</v>
      </c>
      <c r="K86" s="30"/>
      <c r="L86" s="30"/>
      <c r="M86" s="30">
        <v>7.0000000000000007E-2</v>
      </c>
      <c r="N86" s="30">
        <v>0.5</v>
      </c>
      <c r="O86" s="30"/>
      <c r="P86" s="30"/>
      <c r="Q86" s="30"/>
      <c r="R86" s="30">
        <v>0.23</v>
      </c>
      <c r="S86" s="30"/>
      <c r="T86" s="30"/>
      <c r="U86" s="30"/>
      <c r="V86" s="30"/>
      <c r="W86" s="30"/>
      <c r="X86" s="30"/>
      <c r="Y86" s="148"/>
      <c r="Z86" s="150">
        <f t="shared" si="2"/>
        <v>97.640000000000015</v>
      </c>
    </row>
    <row r="87" spans="2:26" ht="12.9" thickBot="1" x14ac:dyDescent="0.35">
      <c r="B87" s="166" t="s">
        <v>17</v>
      </c>
      <c r="C87" s="156">
        <v>74.73</v>
      </c>
      <c r="D87" s="30"/>
      <c r="E87" s="30">
        <v>14.28</v>
      </c>
      <c r="F87" s="30">
        <v>0.04</v>
      </c>
      <c r="G87" s="30"/>
      <c r="H87" s="30"/>
      <c r="I87" s="30">
        <v>2.95</v>
      </c>
      <c r="J87" s="30">
        <v>3.72</v>
      </c>
      <c r="K87" s="30"/>
      <c r="L87" s="30"/>
      <c r="M87" s="30">
        <v>0.11</v>
      </c>
      <c r="N87" s="30">
        <v>1.47</v>
      </c>
      <c r="O87" s="30"/>
      <c r="P87" s="30"/>
      <c r="Q87" s="30"/>
      <c r="R87" s="30">
        <v>0.2</v>
      </c>
      <c r="S87" s="30"/>
      <c r="T87" s="30"/>
      <c r="U87" s="30"/>
      <c r="V87" s="30"/>
      <c r="W87" s="30"/>
      <c r="X87" s="30"/>
      <c r="Y87" s="148"/>
      <c r="Z87" s="150">
        <f t="shared" si="2"/>
        <v>97.500000000000014</v>
      </c>
    </row>
    <row r="88" spans="2:26" ht="12.9" thickBot="1" x14ac:dyDescent="0.35">
      <c r="B88" s="164" t="s">
        <v>122</v>
      </c>
      <c r="C88" s="156">
        <v>50.76</v>
      </c>
      <c r="D88" s="30"/>
      <c r="E88" s="30">
        <v>0.23</v>
      </c>
      <c r="F88" s="30">
        <v>0.03</v>
      </c>
      <c r="G88" s="30"/>
      <c r="H88" s="30"/>
      <c r="I88" s="30">
        <v>0.14000000000000001</v>
      </c>
      <c r="J88" s="30">
        <v>0.15</v>
      </c>
      <c r="K88" s="30"/>
      <c r="L88" s="30"/>
      <c r="M88" s="30">
        <v>30.93</v>
      </c>
      <c r="N88" s="30">
        <v>7.67</v>
      </c>
      <c r="O88" s="30"/>
      <c r="P88" s="30"/>
      <c r="Q88" s="30"/>
      <c r="R88" s="30">
        <v>0.06</v>
      </c>
      <c r="S88" s="30"/>
      <c r="T88" s="30"/>
      <c r="U88" s="30"/>
      <c r="V88" s="30"/>
      <c r="W88" s="30"/>
      <c r="X88" s="30"/>
      <c r="Y88" s="148"/>
      <c r="Z88" s="150">
        <f t="shared" si="2"/>
        <v>89.97</v>
      </c>
    </row>
    <row r="89" spans="2:26" ht="12.9" thickBot="1" x14ac:dyDescent="0.35">
      <c r="B89" s="165" t="s">
        <v>123</v>
      </c>
      <c r="C89" s="156">
        <v>62</v>
      </c>
      <c r="D89" s="30"/>
      <c r="E89" s="30">
        <v>0.5</v>
      </c>
      <c r="F89" s="30"/>
      <c r="G89" s="30"/>
      <c r="H89" s="30"/>
      <c r="I89" s="30"/>
      <c r="J89" s="30"/>
      <c r="K89" s="30"/>
      <c r="L89" s="30"/>
      <c r="M89" s="30">
        <v>31</v>
      </c>
      <c r="N89" s="30">
        <v>1</v>
      </c>
      <c r="O89" s="30"/>
      <c r="P89" s="30"/>
      <c r="Q89" s="30"/>
      <c r="R89" s="30">
        <v>0.5</v>
      </c>
      <c r="S89" s="30"/>
      <c r="T89" s="30"/>
      <c r="U89" s="30"/>
      <c r="V89" s="30"/>
      <c r="W89" s="30"/>
      <c r="X89" s="30"/>
      <c r="Y89" s="148"/>
      <c r="Z89" s="150">
        <f t="shared" si="2"/>
        <v>95</v>
      </c>
    </row>
    <row r="90" spans="2:26" ht="20.149999999999999" thickBot="1" x14ac:dyDescent="0.5">
      <c r="B90" s="163" t="s">
        <v>18</v>
      </c>
      <c r="C90" s="156">
        <v>68.5</v>
      </c>
      <c r="D90" s="30"/>
      <c r="E90" s="30">
        <v>18.559999999999999</v>
      </c>
      <c r="F90" s="30"/>
      <c r="G90" s="30"/>
      <c r="H90" s="32"/>
      <c r="I90" s="30">
        <v>6.22</v>
      </c>
      <c r="J90" s="30">
        <v>4.6100000000000003</v>
      </c>
      <c r="K90" s="30"/>
      <c r="L90" s="30"/>
      <c r="M90" s="30">
        <v>0.01</v>
      </c>
      <c r="N90" s="30">
        <v>1.45</v>
      </c>
      <c r="O90" s="30"/>
      <c r="P90" s="30"/>
      <c r="Q90" s="30"/>
      <c r="R90" s="30">
        <v>7.0000000000000007E-2</v>
      </c>
      <c r="S90" s="30"/>
      <c r="T90" s="30"/>
      <c r="U90" s="30"/>
      <c r="V90" s="30"/>
      <c r="W90" s="30"/>
      <c r="X90" s="30"/>
      <c r="Y90" s="148"/>
      <c r="Z90" s="150">
        <f t="shared" si="2"/>
        <v>99.42</v>
      </c>
    </row>
    <row r="91" spans="2:26" ht="12.9" thickBot="1" x14ac:dyDescent="0.35">
      <c r="B91" s="165" t="s">
        <v>47</v>
      </c>
      <c r="C91" s="156">
        <v>69.94</v>
      </c>
      <c r="D91" s="30"/>
      <c r="E91" s="30">
        <v>17.47</v>
      </c>
      <c r="F91" s="30">
        <v>0.02</v>
      </c>
      <c r="G91" s="30"/>
      <c r="H91" s="30"/>
      <c r="I91" s="30">
        <v>6.37</v>
      </c>
      <c r="J91" s="30">
        <v>3.81</v>
      </c>
      <c r="K91" s="30"/>
      <c r="L91" s="30"/>
      <c r="M91" s="30">
        <v>0.02</v>
      </c>
      <c r="N91" s="30">
        <v>1.38</v>
      </c>
      <c r="O91" s="30"/>
      <c r="P91" s="30"/>
      <c r="Q91" s="30"/>
      <c r="R91" s="30">
        <v>0.1</v>
      </c>
      <c r="S91" s="30"/>
      <c r="T91" s="30"/>
      <c r="U91" s="30"/>
      <c r="V91" s="30"/>
      <c r="W91" s="30"/>
      <c r="X91" s="30"/>
      <c r="Y91" s="148"/>
      <c r="Z91" s="150">
        <f t="shared" si="2"/>
        <v>99.109999999999985</v>
      </c>
    </row>
    <row r="92" spans="2:26" ht="12.9" thickBot="1" x14ac:dyDescent="0.35">
      <c r="B92" s="165" t="s">
        <v>45</v>
      </c>
      <c r="C92" s="156">
        <v>68.12</v>
      </c>
      <c r="D92" s="30"/>
      <c r="E92" s="30">
        <v>17.62</v>
      </c>
      <c r="F92" s="30"/>
      <c r="G92" s="30"/>
      <c r="H92" s="30"/>
      <c r="I92" s="30">
        <v>3</v>
      </c>
      <c r="J92" s="30">
        <v>10.98</v>
      </c>
      <c r="K92" s="30"/>
      <c r="L92" s="30"/>
      <c r="M92" s="30"/>
      <c r="N92" s="30">
        <v>0.23</v>
      </c>
      <c r="O92" s="30"/>
      <c r="P92" s="30"/>
      <c r="Q92" s="30"/>
      <c r="R92" s="30">
        <v>0.05</v>
      </c>
      <c r="S92" s="30"/>
      <c r="T92" s="30"/>
      <c r="U92" s="30"/>
      <c r="V92" s="30"/>
      <c r="W92" s="30"/>
      <c r="X92" s="30"/>
      <c r="Y92" s="148"/>
      <c r="Z92" s="150">
        <f t="shared" si="2"/>
        <v>100.00000000000001</v>
      </c>
    </row>
    <row r="93" spans="2:26" ht="12.9" thickBot="1" x14ac:dyDescent="0.35">
      <c r="B93" s="164" t="s">
        <v>113</v>
      </c>
      <c r="C93" s="156">
        <v>65.900000000000006</v>
      </c>
      <c r="D93" s="30"/>
      <c r="E93" s="30">
        <v>18.2</v>
      </c>
      <c r="F93" s="30"/>
      <c r="G93" s="30"/>
      <c r="H93" s="30"/>
      <c r="I93" s="30">
        <v>1.52</v>
      </c>
      <c r="J93" s="30">
        <v>13.2</v>
      </c>
      <c r="K93" s="30"/>
      <c r="L93" s="30"/>
      <c r="M93" s="30"/>
      <c r="N93" s="30">
        <v>0.75</v>
      </c>
      <c r="O93" s="30"/>
      <c r="P93" s="30"/>
      <c r="Q93" s="30"/>
      <c r="R93" s="30">
        <v>0.09</v>
      </c>
      <c r="S93" s="30"/>
      <c r="T93" s="30"/>
      <c r="U93" s="30"/>
      <c r="V93" s="30"/>
      <c r="W93" s="30"/>
      <c r="X93" s="30"/>
      <c r="Y93" s="148"/>
      <c r="Z93" s="150">
        <f t="shared" si="2"/>
        <v>99.660000000000011</v>
      </c>
    </row>
    <row r="94" spans="2:26" ht="12.9" thickBot="1" x14ac:dyDescent="0.35">
      <c r="B94" s="165" t="s">
        <v>128</v>
      </c>
      <c r="C94" s="156">
        <v>64.849999999999994</v>
      </c>
      <c r="D94" s="30"/>
      <c r="E94" s="30">
        <v>18.059999999999999</v>
      </c>
      <c r="F94" s="30"/>
      <c r="G94" s="30"/>
      <c r="H94" s="30"/>
      <c r="I94" s="30">
        <v>1.25</v>
      </c>
      <c r="J94" s="30">
        <v>13.18</v>
      </c>
      <c r="K94" s="30"/>
      <c r="L94" s="30"/>
      <c r="M94" s="30">
        <v>0.3</v>
      </c>
      <c r="N94" s="30">
        <v>0.14000000000000001</v>
      </c>
      <c r="O94" s="30"/>
      <c r="P94" s="30"/>
      <c r="Q94" s="30"/>
      <c r="R94" s="30">
        <v>7.0000000000000007E-2</v>
      </c>
      <c r="S94" s="30"/>
      <c r="T94" s="30"/>
      <c r="U94" s="30"/>
      <c r="V94" s="30"/>
      <c r="W94" s="30"/>
      <c r="X94" s="30"/>
      <c r="Y94" s="148"/>
      <c r="Z94" s="150">
        <f t="shared" si="2"/>
        <v>97.85</v>
      </c>
    </row>
    <row r="95" spans="2:26" ht="12.9" thickBot="1" x14ac:dyDescent="0.35">
      <c r="B95" s="163" t="s">
        <v>57</v>
      </c>
      <c r="C95" s="156">
        <v>46.9</v>
      </c>
      <c r="D95" s="30"/>
      <c r="E95" s="30">
        <v>38.200000000000003</v>
      </c>
      <c r="F95" s="30">
        <v>1.42</v>
      </c>
      <c r="G95" s="30"/>
      <c r="H95" s="30"/>
      <c r="I95" s="30">
        <v>0.04</v>
      </c>
      <c r="J95" s="30">
        <v>0</v>
      </c>
      <c r="K95" s="30"/>
      <c r="L95" s="30"/>
      <c r="M95" s="30">
        <v>0.57999999999999996</v>
      </c>
      <c r="N95" s="30">
        <v>0.43</v>
      </c>
      <c r="O95" s="30"/>
      <c r="P95" s="30"/>
      <c r="Q95" s="30"/>
      <c r="R95" s="30">
        <v>0.35</v>
      </c>
      <c r="S95" s="30"/>
      <c r="T95" s="30"/>
      <c r="U95" s="30"/>
      <c r="V95" s="30"/>
      <c r="W95" s="30"/>
      <c r="X95" s="30"/>
      <c r="Y95" s="148"/>
      <c r="Z95" s="150">
        <f t="shared" si="2"/>
        <v>87.92</v>
      </c>
    </row>
    <row r="96" spans="2:26" ht="12.9" thickBot="1" x14ac:dyDescent="0.35">
      <c r="B96" s="161" t="s">
        <v>58</v>
      </c>
      <c r="C96" s="156">
        <v>46.7</v>
      </c>
      <c r="D96" s="30"/>
      <c r="E96" s="30">
        <v>35.4</v>
      </c>
      <c r="F96" s="30">
        <v>1.1299999999999999</v>
      </c>
      <c r="G96" s="30"/>
      <c r="H96" s="30"/>
      <c r="I96" s="30">
        <v>0.08</v>
      </c>
      <c r="J96" s="30">
        <v>0.53</v>
      </c>
      <c r="K96" s="30"/>
      <c r="L96" s="30"/>
      <c r="M96" s="30">
        <v>0.26</v>
      </c>
      <c r="N96" s="30">
        <v>0.48</v>
      </c>
      <c r="O96" s="30"/>
      <c r="P96" s="30"/>
      <c r="Q96" s="30"/>
      <c r="R96" s="30">
        <v>1.3</v>
      </c>
      <c r="S96" s="30"/>
      <c r="T96" s="30"/>
      <c r="U96" s="30"/>
      <c r="V96" s="30"/>
      <c r="W96" s="30"/>
      <c r="X96" s="30"/>
      <c r="Y96" s="148"/>
      <c r="Z96" s="150">
        <f t="shared" si="2"/>
        <v>85.88</v>
      </c>
    </row>
    <row r="97" spans="2:26" ht="12.75" customHeight="1" thickBot="1" x14ac:dyDescent="0.35">
      <c r="B97" s="161" t="s">
        <v>59</v>
      </c>
      <c r="C97" s="156">
        <v>45.92</v>
      </c>
      <c r="D97" s="30"/>
      <c r="E97" s="30">
        <v>37.57</v>
      </c>
      <c r="F97" s="30">
        <v>1.1299999999999999</v>
      </c>
      <c r="G97" s="30"/>
      <c r="H97" s="30"/>
      <c r="I97" s="30">
        <v>0.08</v>
      </c>
      <c r="J97" s="30">
        <v>0.23</v>
      </c>
      <c r="K97" s="30"/>
      <c r="L97" s="30"/>
      <c r="M97" s="30">
        <v>0.04</v>
      </c>
      <c r="N97" s="30">
        <v>0.08</v>
      </c>
      <c r="O97" s="30"/>
      <c r="P97" s="30"/>
      <c r="Q97" s="30"/>
      <c r="R97" s="30">
        <v>0.36</v>
      </c>
      <c r="S97" s="30"/>
      <c r="T97" s="30"/>
      <c r="U97" s="30"/>
      <c r="V97" s="30"/>
      <c r="W97" s="30"/>
      <c r="X97" s="30"/>
      <c r="Y97" s="148"/>
      <c r="Z97" s="150">
        <f t="shared" si="2"/>
        <v>85.410000000000011</v>
      </c>
    </row>
    <row r="98" spans="2:26" ht="12.9" thickBot="1" x14ac:dyDescent="0.35">
      <c r="B98" s="174" t="s">
        <v>62</v>
      </c>
      <c r="C98" s="156">
        <v>44.6</v>
      </c>
      <c r="D98" s="30"/>
      <c r="E98" s="30">
        <v>39.5</v>
      </c>
      <c r="F98" s="31">
        <v>1.4</v>
      </c>
      <c r="G98" s="30"/>
      <c r="H98" s="30"/>
      <c r="I98" s="30">
        <v>0.04</v>
      </c>
      <c r="J98" s="30">
        <v>0.52</v>
      </c>
      <c r="K98" s="30"/>
      <c r="L98" s="30"/>
      <c r="M98" s="30">
        <v>7.0000000000000007E-2</v>
      </c>
      <c r="N98" s="30">
        <v>0.05</v>
      </c>
      <c r="O98" s="30"/>
      <c r="P98" s="30"/>
      <c r="Q98" s="30"/>
      <c r="R98" s="30">
        <v>0.45</v>
      </c>
      <c r="S98" s="30"/>
      <c r="T98" s="30"/>
      <c r="U98" s="30"/>
      <c r="V98" s="30"/>
      <c r="W98" s="30"/>
      <c r="X98" s="30"/>
      <c r="Y98" s="149"/>
      <c r="Z98" s="150">
        <f t="shared" si="2"/>
        <v>86.63</v>
      </c>
    </row>
    <row r="99" spans="2:26" ht="12.9" thickBot="1" x14ac:dyDescent="0.35">
      <c r="B99" s="174" t="s">
        <v>124</v>
      </c>
      <c r="C99" s="156">
        <v>58.8</v>
      </c>
      <c r="D99" s="30"/>
      <c r="E99" s="30">
        <v>26.28</v>
      </c>
      <c r="F99" s="30">
        <v>1.48</v>
      </c>
      <c r="G99" s="30"/>
      <c r="H99" s="30"/>
      <c r="I99" s="30">
        <v>7.0000000000000007E-2</v>
      </c>
      <c r="J99" s="30">
        <v>0.32</v>
      </c>
      <c r="K99" s="30"/>
      <c r="L99" s="30"/>
      <c r="M99" s="30">
        <v>0.04</v>
      </c>
      <c r="N99" s="30">
        <v>0.09</v>
      </c>
      <c r="O99" s="30"/>
      <c r="P99" s="30"/>
      <c r="Q99" s="30"/>
      <c r="R99" s="30">
        <v>1.41</v>
      </c>
      <c r="S99" s="30"/>
      <c r="T99" s="30"/>
      <c r="U99" s="30"/>
      <c r="V99" s="30"/>
      <c r="W99" s="30"/>
      <c r="X99" s="30"/>
      <c r="Y99" s="148"/>
      <c r="Z99" s="150">
        <f t="shared" si="2"/>
        <v>88.49</v>
      </c>
    </row>
    <row r="100" spans="2:26" ht="12.9" thickBot="1" x14ac:dyDescent="0.35">
      <c r="B100" s="161" t="s">
        <v>63</v>
      </c>
      <c r="C100" s="156">
        <v>53.96</v>
      </c>
      <c r="D100" s="30"/>
      <c r="E100" s="30">
        <v>29.34</v>
      </c>
      <c r="F100" s="30">
        <v>1.64</v>
      </c>
      <c r="G100" s="30"/>
      <c r="H100" s="30"/>
      <c r="I100" s="30">
        <v>0.12</v>
      </c>
      <c r="J100" s="30">
        <v>0.25</v>
      </c>
      <c r="K100" s="30"/>
      <c r="L100" s="30"/>
      <c r="M100" s="30">
        <v>0.3</v>
      </c>
      <c r="N100" s="30">
        <v>0.37</v>
      </c>
      <c r="O100" s="30"/>
      <c r="P100" s="30"/>
      <c r="Q100" s="30"/>
      <c r="R100" s="30">
        <v>0.98</v>
      </c>
      <c r="S100" s="30"/>
      <c r="T100" s="30"/>
      <c r="U100" s="30"/>
      <c r="V100" s="30"/>
      <c r="W100" s="30"/>
      <c r="X100" s="30"/>
      <c r="Y100" s="148"/>
      <c r="Z100" s="150">
        <f t="shared" si="2"/>
        <v>86.960000000000008</v>
      </c>
    </row>
    <row r="101" spans="2:26" ht="12.9" thickBot="1" x14ac:dyDescent="0.35">
      <c r="B101" s="170" t="s">
        <v>60</v>
      </c>
      <c r="C101" s="156">
        <v>54.2</v>
      </c>
      <c r="D101" s="30"/>
      <c r="E101" s="30">
        <v>30.59</v>
      </c>
      <c r="F101" s="30">
        <v>2.3199999999999998</v>
      </c>
      <c r="G101" s="30"/>
      <c r="H101" s="30"/>
      <c r="I101" s="30">
        <v>0.11</v>
      </c>
      <c r="J101" s="30">
        <v>0.34</v>
      </c>
      <c r="K101" s="30"/>
      <c r="L101" s="30"/>
      <c r="M101" s="30">
        <v>0.18</v>
      </c>
      <c r="N101" s="30">
        <v>0.5</v>
      </c>
      <c r="O101" s="30"/>
      <c r="P101" s="30"/>
      <c r="Q101" s="30"/>
      <c r="R101" s="30">
        <v>0.78</v>
      </c>
      <c r="S101" s="30"/>
      <c r="T101" s="30"/>
      <c r="U101" s="30"/>
      <c r="V101" s="30"/>
      <c r="W101" s="30"/>
      <c r="X101" s="30"/>
      <c r="Y101" s="148"/>
      <c r="Z101" s="150">
        <f t="shared" si="2"/>
        <v>89.02000000000001</v>
      </c>
    </row>
    <row r="102" spans="2:26" ht="12.9" thickBot="1" x14ac:dyDescent="0.35">
      <c r="B102" s="170" t="s">
        <v>66</v>
      </c>
      <c r="C102" s="156">
        <v>57.4</v>
      </c>
      <c r="D102" s="30"/>
      <c r="E102" s="30">
        <v>28.9</v>
      </c>
      <c r="F102" s="30">
        <v>1.7</v>
      </c>
      <c r="G102" s="30"/>
      <c r="H102" s="30"/>
      <c r="I102" s="30">
        <v>0.3</v>
      </c>
      <c r="J102" s="30">
        <v>0.9</v>
      </c>
      <c r="K102" s="30"/>
      <c r="L102" s="30"/>
      <c r="M102" s="30">
        <v>0.3</v>
      </c>
      <c r="N102" s="30">
        <v>0.5</v>
      </c>
      <c r="O102" s="30"/>
      <c r="P102" s="30"/>
      <c r="Q102" s="30"/>
      <c r="R102" s="30">
        <v>0.7</v>
      </c>
      <c r="S102" s="30"/>
      <c r="T102" s="30"/>
      <c r="U102" s="30"/>
      <c r="V102" s="30"/>
      <c r="W102" s="30"/>
      <c r="X102" s="30"/>
      <c r="Y102" s="148"/>
      <c r="Z102" s="150">
        <f t="shared" si="2"/>
        <v>90.7</v>
      </c>
    </row>
    <row r="103" spans="2:26" ht="12.9" thickBot="1" x14ac:dyDescent="0.35">
      <c r="B103" s="170" t="s">
        <v>64</v>
      </c>
      <c r="C103" s="159">
        <v>58.4</v>
      </c>
      <c r="D103" s="31"/>
      <c r="E103" s="31">
        <v>24.8</v>
      </c>
      <c r="F103" s="30">
        <v>1.1000000000000001</v>
      </c>
      <c r="G103" s="31"/>
      <c r="H103" s="31"/>
      <c r="I103" s="31">
        <v>0.18</v>
      </c>
      <c r="J103" s="31">
        <v>2.2999999999999998</v>
      </c>
      <c r="K103" s="31"/>
      <c r="L103" s="31"/>
      <c r="M103" s="31">
        <v>0.31</v>
      </c>
      <c r="N103" s="31">
        <v>0.04</v>
      </c>
      <c r="O103" s="30"/>
      <c r="P103" s="30"/>
      <c r="Q103" s="30"/>
      <c r="R103" s="31">
        <v>4.7</v>
      </c>
      <c r="S103" s="31"/>
      <c r="T103" s="31"/>
      <c r="U103" s="31"/>
      <c r="V103" s="31"/>
      <c r="W103" s="31"/>
      <c r="X103" s="31"/>
      <c r="Y103" s="148"/>
      <c r="Z103" s="150">
        <f t="shared" si="2"/>
        <v>91.830000000000013</v>
      </c>
    </row>
    <row r="104" spans="2:26" ht="12.9" thickBot="1" x14ac:dyDescent="0.35">
      <c r="B104" s="170" t="s">
        <v>67</v>
      </c>
      <c r="C104" s="156">
        <v>58.36</v>
      </c>
      <c r="D104" s="30"/>
      <c r="E104" s="30">
        <v>25.19</v>
      </c>
      <c r="F104" s="30">
        <v>1.49</v>
      </c>
      <c r="G104" s="30"/>
      <c r="H104" s="30"/>
      <c r="I104" s="30">
        <v>0.19</v>
      </c>
      <c r="J104" s="30">
        <v>2.84</v>
      </c>
      <c r="K104" s="30"/>
      <c r="L104" s="30"/>
      <c r="M104" s="30">
        <v>0.62</v>
      </c>
      <c r="N104" s="30">
        <v>0.17</v>
      </c>
      <c r="O104" s="30"/>
      <c r="P104" s="30"/>
      <c r="Q104" s="30"/>
      <c r="R104" s="30">
        <v>1.38</v>
      </c>
      <c r="S104" s="30"/>
      <c r="T104" s="30"/>
      <c r="U104" s="30"/>
      <c r="V104" s="30"/>
      <c r="W104" s="30"/>
      <c r="X104" s="30"/>
      <c r="Y104" s="148"/>
      <c r="Z104" s="150">
        <f t="shared" si="2"/>
        <v>90.24</v>
      </c>
    </row>
    <row r="105" spans="2:26" ht="12.9" thickBot="1" x14ac:dyDescent="0.35">
      <c r="B105" s="170" t="s">
        <v>61</v>
      </c>
      <c r="C105" s="156">
        <v>55.1</v>
      </c>
      <c r="D105" s="30"/>
      <c r="E105" s="30">
        <v>39.11</v>
      </c>
      <c r="F105" s="30">
        <v>2.08</v>
      </c>
      <c r="G105" s="30"/>
      <c r="H105" s="30"/>
      <c r="I105" s="30">
        <v>0.24</v>
      </c>
      <c r="J105" s="30">
        <v>1.24</v>
      </c>
      <c r="K105" s="30"/>
      <c r="L105" s="30"/>
      <c r="M105" s="30">
        <v>0.85</v>
      </c>
      <c r="N105" s="30">
        <v>0.15</v>
      </c>
      <c r="O105" s="30"/>
      <c r="P105" s="30"/>
      <c r="Q105" s="30"/>
      <c r="R105" s="30">
        <v>1.02</v>
      </c>
      <c r="S105" s="30"/>
      <c r="T105" s="30"/>
      <c r="U105" s="30"/>
      <c r="V105" s="30"/>
      <c r="W105" s="30"/>
      <c r="X105" s="30"/>
      <c r="Y105" s="148"/>
      <c r="Z105" s="150">
        <f t="shared" si="2"/>
        <v>99.789999999999992</v>
      </c>
    </row>
    <row r="106" spans="2:26" ht="12.9" thickBot="1" x14ac:dyDescent="0.35">
      <c r="B106" s="170" t="s">
        <v>65</v>
      </c>
      <c r="C106" s="156">
        <v>52</v>
      </c>
      <c r="D106" s="30"/>
      <c r="E106" s="30">
        <v>30</v>
      </c>
      <c r="F106" s="30">
        <v>1.5</v>
      </c>
      <c r="G106" s="30"/>
      <c r="H106" s="30"/>
      <c r="I106" s="30">
        <v>0.05</v>
      </c>
      <c r="J106" s="30">
        <v>0.2</v>
      </c>
      <c r="K106" s="30"/>
      <c r="L106" s="30"/>
      <c r="M106" s="30">
        <v>0.03</v>
      </c>
      <c r="N106" s="30">
        <v>0.05</v>
      </c>
      <c r="O106" s="30"/>
      <c r="P106" s="30"/>
      <c r="Q106" s="30"/>
      <c r="R106" s="30">
        <v>1</v>
      </c>
      <c r="S106" s="30"/>
      <c r="T106" s="30"/>
      <c r="U106" s="30"/>
      <c r="V106" s="30"/>
      <c r="W106" s="30"/>
      <c r="X106" s="30"/>
      <c r="Y106" s="148"/>
      <c r="Z106" s="150">
        <f t="shared" si="2"/>
        <v>84.83</v>
      </c>
    </row>
    <row r="107" spans="2:26" ht="12.9" thickBot="1" x14ac:dyDescent="0.35">
      <c r="B107" s="170" t="s">
        <v>71</v>
      </c>
      <c r="C107" s="156">
        <v>58</v>
      </c>
      <c r="D107" s="30"/>
      <c r="E107" s="30">
        <v>14</v>
      </c>
      <c r="F107" s="30">
        <v>0.8</v>
      </c>
      <c r="G107" s="30"/>
      <c r="H107" s="30"/>
      <c r="I107" s="30">
        <v>0.8</v>
      </c>
      <c r="J107" s="30">
        <v>3.25</v>
      </c>
      <c r="K107" s="30"/>
      <c r="L107" s="30"/>
      <c r="M107" s="30">
        <v>2.2000000000000002</v>
      </c>
      <c r="N107" s="30">
        <v>6</v>
      </c>
      <c r="O107" s="30"/>
      <c r="P107" s="30"/>
      <c r="Q107" s="30"/>
      <c r="R107" s="30">
        <v>5.2</v>
      </c>
      <c r="S107" s="30"/>
      <c r="T107" s="30"/>
      <c r="U107" s="30"/>
      <c r="V107" s="30"/>
      <c r="W107" s="30"/>
      <c r="X107" s="30"/>
      <c r="Y107" s="148"/>
      <c r="Z107" s="150">
        <f t="shared" si="2"/>
        <v>90.25</v>
      </c>
    </row>
    <row r="108" spans="2:26" ht="12.9" thickBot="1" x14ac:dyDescent="0.35">
      <c r="B108" s="170" t="s">
        <v>72</v>
      </c>
      <c r="C108" s="156">
        <v>57.56</v>
      </c>
      <c r="D108" s="30"/>
      <c r="E108" s="30">
        <v>18.899999999999999</v>
      </c>
      <c r="F108" s="30">
        <v>1</v>
      </c>
      <c r="G108" s="30"/>
      <c r="H108" s="30"/>
      <c r="I108" s="30">
        <v>0.46</v>
      </c>
      <c r="J108" s="30">
        <v>4.41</v>
      </c>
      <c r="K108" s="30"/>
      <c r="L108" s="30"/>
      <c r="M108" s="30">
        <v>1.8</v>
      </c>
      <c r="N108" s="30">
        <v>0.36</v>
      </c>
      <c r="O108" s="30"/>
      <c r="P108" s="30"/>
      <c r="Q108" s="30"/>
      <c r="R108" s="30">
        <v>8.19</v>
      </c>
      <c r="S108" s="30"/>
      <c r="T108" s="30"/>
      <c r="U108" s="30"/>
      <c r="V108" s="30"/>
      <c r="W108" s="30"/>
      <c r="X108" s="30"/>
      <c r="Y108" s="148"/>
      <c r="Z108" s="150">
        <f t="shared" si="2"/>
        <v>92.679999999999993</v>
      </c>
    </row>
    <row r="109" spans="2:26" ht="12.9" thickBot="1" x14ac:dyDescent="0.35">
      <c r="B109" s="174" t="s">
        <v>70</v>
      </c>
      <c r="C109" s="156">
        <v>45.6</v>
      </c>
      <c r="D109" s="30"/>
      <c r="E109" s="30">
        <v>15.81</v>
      </c>
      <c r="F109" s="30">
        <v>0.8</v>
      </c>
      <c r="G109" s="30"/>
      <c r="H109" s="30"/>
      <c r="I109" s="30">
        <v>0.03</v>
      </c>
      <c r="J109" s="30">
        <v>2.63</v>
      </c>
      <c r="K109" s="30"/>
      <c r="L109" s="30"/>
      <c r="M109" s="30">
        <v>1.02</v>
      </c>
      <c r="N109" s="30">
        <v>0.13</v>
      </c>
      <c r="O109" s="30"/>
      <c r="P109" s="30"/>
      <c r="Q109" s="30"/>
      <c r="R109" s="30">
        <v>19.39</v>
      </c>
      <c r="S109" s="30"/>
      <c r="T109" s="30"/>
      <c r="U109" s="30"/>
      <c r="V109" s="30"/>
      <c r="W109" s="30"/>
      <c r="X109" s="30"/>
      <c r="Y109" s="148"/>
      <c r="Z109" s="150">
        <f t="shared" si="2"/>
        <v>85.41</v>
      </c>
    </row>
    <row r="110" spans="2:26" ht="12.9" thickBot="1" x14ac:dyDescent="0.35">
      <c r="B110" s="162" t="s">
        <v>69</v>
      </c>
      <c r="C110" s="156">
        <v>55.53</v>
      </c>
      <c r="D110" s="30"/>
      <c r="E110" s="30">
        <v>27.19</v>
      </c>
      <c r="F110" s="30">
        <v>1.98</v>
      </c>
      <c r="G110" s="30"/>
      <c r="H110" s="30"/>
      <c r="I110" s="30">
        <v>0.16</v>
      </c>
      <c r="J110" s="30">
        <v>1.27</v>
      </c>
      <c r="K110" s="30"/>
      <c r="L110" s="30"/>
      <c r="M110" s="30">
        <v>0.46</v>
      </c>
      <c r="N110" s="30">
        <v>0.2</v>
      </c>
      <c r="O110" s="30"/>
      <c r="P110" s="30"/>
      <c r="Q110" s="30"/>
      <c r="R110" s="30">
        <v>1.31</v>
      </c>
      <c r="S110" s="30"/>
      <c r="T110" s="30"/>
      <c r="U110" s="30"/>
      <c r="V110" s="30"/>
      <c r="W110" s="30"/>
      <c r="X110" s="30"/>
      <c r="Y110" s="148"/>
      <c r="Z110" s="150">
        <f t="shared" si="2"/>
        <v>88.1</v>
      </c>
    </row>
    <row r="111" spans="2:26" ht="12.9" thickBot="1" x14ac:dyDescent="0.35">
      <c r="B111" s="174" t="s">
        <v>119</v>
      </c>
      <c r="C111" s="156">
        <v>57.76</v>
      </c>
      <c r="D111" s="30"/>
      <c r="E111" s="30">
        <v>25.21</v>
      </c>
      <c r="F111" s="30">
        <v>1.26</v>
      </c>
      <c r="G111" s="30"/>
      <c r="H111" s="30"/>
      <c r="I111" s="30">
        <v>0.25</v>
      </c>
      <c r="J111" s="30">
        <v>2.79</v>
      </c>
      <c r="K111" s="30"/>
      <c r="L111" s="30"/>
      <c r="M111" s="30">
        <v>0.71</v>
      </c>
      <c r="N111" s="30">
        <v>0.23</v>
      </c>
      <c r="O111" s="30">
        <v>1.37E-2</v>
      </c>
      <c r="P111" s="30">
        <v>5.2800000000000007E-2</v>
      </c>
      <c r="Q111" s="30"/>
      <c r="R111" s="30">
        <v>2.29</v>
      </c>
      <c r="S111" s="30"/>
      <c r="T111" s="30"/>
      <c r="U111" s="30"/>
      <c r="V111" s="30"/>
      <c r="W111" s="30"/>
      <c r="X111" s="30"/>
      <c r="Y111" s="148"/>
      <c r="Z111" s="150">
        <f t="shared" si="2"/>
        <v>90.566500000000019</v>
      </c>
    </row>
    <row r="112" spans="2:26" ht="12.9" thickBot="1" x14ac:dyDescent="0.35">
      <c r="B112" s="174" t="s">
        <v>118</v>
      </c>
      <c r="C112" s="156">
        <v>54.61</v>
      </c>
      <c r="D112" s="30"/>
      <c r="E112" s="30">
        <v>30.91</v>
      </c>
      <c r="F112" s="30">
        <v>0.82</v>
      </c>
      <c r="G112" s="30"/>
      <c r="H112" s="30"/>
      <c r="I112" s="30">
        <v>0.03</v>
      </c>
      <c r="J112" s="30">
        <v>0.01</v>
      </c>
      <c r="K112" s="30"/>
      <c r="L112" s="30"/>
      <c r="M112" s="30">
        <v>0.97</v>
      </c>
      <c r="N112" s="30">
        <v>0.38</v>
      </c>
      <c r="O112" s="30"/>
      <c r="P112" s="30"/>
      <c r="Q112" s="30"/>
      <c r="R112" s="30">
        <v>1.46</v>
      </c>
      <c r="S112" s="30"/>
      <c r="T112" s="30"/>
      <c r="U112" s="30"/>
      <c r="V112" s="30"/>
      <c r="W112" s="30"/>
      <c r="X112" s="30"/>
      <c r="Y112" s="148"/>
      <c r="Z112" s="150">
        <f t="shared" si="2"/>
        <v>89.189999999999984</v>
      </c>
    </row>
    <row r="113" spans="2:26" ht="12.9" thickBot="1" x14ac:dyDescent="0.35">
      <c r="B113" s="174" t="s">
        <v>73</v>
      </c>
      <c r="C113" s="156">
        <v>76.52</v>
      </c>
      <c r="D113" s="30"/>
      <c r="E113" s="30">
        <v>16.309999999999999</v>
      </c>
      <c r="F113" s="30">
        <v>0.21</v>
      </c>
      <c r="G113" s="30"/>
      <c r="H113" s="30"/>
      <c r="I113" s="30">
        <v>0.19</v>
      </c>
      <c r="J113" s="30">
        <v>2.37</v>
      </c>
      <c r="K113" s="30"/>
      <c r="L113" s="30"/>
      <c r="M113" s="30">
        <v>0.01</v>
      </c>
      <c r="N113" s="30">
        <v>0.02</v>
      </c>
      <c r="O113" s="30"/>
      <c r="P113" s="30"/>
      <c r="Q113" s="30"/>
      <c r="R113" s="30">
        <v>0.36</v>
      </c>
      <c r="S113" s="30"/>
      <c r="T113" s="30"/>
      <c r="U113" s="30"/>
      <c r="V113" s="30"/>
      <c r="W113" s="30"/>
      <c r="X113" s="30"/>
      <c r="Y113" s="148"/>
      <c r="Z113" s="150">
        <f t="shared" si="2"/>
        <v>95.99</v>
      </c>
    </row>
    <row r="114" spans="2:26" ht="12.9" thickBot="1" x14ac:dyDescent="0.35">
      <c r="B114" s="161" t="s">
        <v>55</v>
      </c>
      <c r="C114" s="156">
        <v>0.32</v>
      </c>
      <c r="D114" s="30"/>
      <c r="E114" s="30">
        <v>26.27</v>
      </c>
      <c r="F114" s="30"/>
      <c r="G114" s="30"/>
      <c r="H114" s="30"/>
      <c r="I114" s="30">
        <v>39.47</v>
      </c>
      <c r="J114" s="30">
        <v>0.04</v>
      </c>
      <c r="K114" s="30"/>
      <c r="L114" s="30"/>
      <c r="M114" s="30">
        <v>7.0000000000000007E-2</v>
      </c>
      <c r="N114" s="30">
        <v>0.74</v>
      </c>
      <c r="O114" s="30"/>
      <c r="P114" s="30"/>
      <c r="Q114" s="30"/>
      <c r="R114" s="30">
        <v>0.06</v>
      </c>
      <c r="S114" s="30"/>
      <c r="T114" s="30"/>
      <c r="U114" s="30"/>
      <c r="V114" s="30"/>
      <c r="W114" s="30"/>
      <c r="X114" s="30"/>
      <c r="Y114" s="148"/>
      <c r="Z114" s="150">
        <f t="shared" si="2"/>
        <v>66.97</v>
      </c>
    </row>
    <row r="115" spans="2:26" ht="12.9" thickBot="1" x14ac:dyDescent="0.35">
      <c r="B115" s="175" t="s">
        <v>56</v>
      </c>
      <c r="C115" s="160">
        <v>1.06</v>
      </c>
      <c r="D115" s="63"/>
      <c r="E115" s="63">
        <v>0.23</v>
      </c>
      <c r="F115" s="30">
        <v>0.06</v>
      </c>
      <c r="G115" s="63"/>
      <c r="H115" s="63"/>
      <c r="I115" s="63">
        <v>0.16</v>
      </c>
      <c r="J115" s="63">
        <v>0.06</v>
      </c>
      <c r="K115" s="63"/>
      <c r="L115" s="63"/>
      <c r="M115" s="63">
        <v>0.04</v>
      </c>
      <c r="N115" s="63">
        <v>75.209999999999994</v>
      </c>
      <c r="O115" s="31"/>
      <c r="P115" s="31"/>
      <c r="Q115" s="31"/>
      <c r="R115" s="63">
        <v>7.0000000000000007E-2</v>
      </c>
      <c r="S115" s="63"/>
      <c r="T115" s="63"/>
      <c r="U115" s="63"/>
      <c r="V115" s="63"/>
      <c r="W115" s="63"/>
      <c r="X115" s="63"/>
      <c r="Y115" s="148"/>
      <c r="Z115" s="150">
        <f t="shared" si="2"/>
        <v>76.889999999999986</v>
      </c>
    </row>
    <row r="116" spans="2:26" ht="12.9" thickBot="1" x14ac:dyDescent="0.35">
      <c r="B116" s="174" t="s">
        <v>135</v>
      </c>
      <c r="C116" s="156">
        <v>41.1</v>
      </c>
      <c r="D116" s="78"/>
      <c r="E116" s="30">
        <v>55.78</v>
      </c>
      <c r="F116" s="30">
        <v>1.1299999999999999</v>
      </c>
      <c r="G116" s="30"/>
      <c r="H116" s="30"/>
      <c r="I116" s="30">
        <v>0.06</v>
      </c>
      <c r="J116" s="30">
        <v>0.04</v>
      </c>
      <c r="K116" s="30"/>
      <c r="L116" s="30"/>
      <c r="M116" s="30">
        <v>0.03</v>
      </c>
      <c r="N116" s="30">
        <v>0.06</v>
      </c>
      <c r="O116" s="30"/>
      <c r="P116" s="30"/>
      <c r="Q116" s="30"/>
      <c r="R116" s="30">
        <v>0.91</v>
      </c>
      <c r="S116" s="30"/>
      <c r="T116" s="30"/>
      <c r="U116" s="30"/>
      <c r="V116" s="30"/>
      <c r="W116" s="30"/>
      <c r="X116" s="30"/>
      <c r="Y116" s="148"/>
      <c r="Z116" s="150">
        <f t="shared" si="2"/>
        <v>99.11</v>
      </c>
    </row>
    <row r="117" spans="2:26" ht="12.9" thickBot="1" x14ac:dyDescent="0.35">
      <c r="B117" s="174" t="s">
        <v>183</v>
      </c>
      <c r="C117" s="156"/>
      <c r="D117" s="78"/>
      <c r="E117" s="30"/>
      <c r="F117" s="30"/>
      <c r="G117" s="30"/>
      <c r="H117" s="30"/>
      <c r="I117" s="30">
        <v>75</v>
      </c>
      <c r="J117" s="30"/>
      <c r="K117" s="30"/>
      <c r="L117" s="30"/>
      <c r="M117" s="30"/>
      <c r="N117" s="30"/>
      <c r="O117" s="30"/>
      <c r="P117" s="30"/>
      <c r="Q117" s="30"/>
      <c r="R117" s="30"/>
      <c r="S117" s="30"/>
      <c r="T117" s="30"/>
      <c r="U117" s="30"/>
      <c r="V117" s="30"/>
      <c r="W117" s="30">
        <v>25</v>
      </c>
      <c r="X117" s="30"/>
      <c r="Y117" s="148"/>
      <c r="Z117" s="150">
        <f t="shared" si="2"/>
        <v>100</v>
      </c>
    </row>
    <row r="118" spans="2:26" ht="12.9" thickBot="1" x14ac:dyDescent="0.35">
      <c r="B118" s="174" t="s">
        <v>171</v>
      </c>
      <c r="C118" s="156"/>
      <c r="D118" s="78"/>
      <c r="E118" s="30">
        <v>65.39</v>
      </c>
      <c r="F118" s="30"/>
      <c r="G118" s="30"/>
      <c r="H118" s="30"/>
      <c r="I118" s="30"/>
      <c r="J118" s="30"/>
      <c r="K118" s="30"/>
      <c r="L118" s="30"/>
      <c r="M118" s="30"/>
      <c r="N118" s="30"/>
      <c r="O118" s="30"/>
      <c r="P118" s="30"/>
      <c r="Q118" s="30"/>
      <c r="R118" s="30"/>
      <c r="S118" s="30"/>
      <c r="T118" s="30"/>
      <c r="U118" s="30"/>
      <c r="V118" s="30"/>
      <c r="W118" s="30"/>
      <c r="X118" s="30"/>
      <c r="Y118" s="148"/>
      <c r="Z118" s="150">
        <f t="shared" si="2"/>
        <v>65.39</v>
      </c>
    </row>
    <row r="119" spans="2:26" ht="12.9" thickBot="1" x14ac:dyDescent="0.35">
      <c r="B119" s="174" t="s">
        <v>125</v>
      </c>
      <c r="C119" s="156"/>
      <c r="D119" s="30"/>
      <c r="E119" s="30">
        <v>100</v>
      </c>
      <c r="F119" s="30"/>
      <c r="G119" s="30"/>
      <c r="H119" s="30"/>
      <c r="I119" s="30"/>
      <c r="J119" s="30"/>
      <c r="K119" s="30"/>
      <c r="L119" s="30"/>
      <c r="M119" s="30"/>
      <c r="N119" s="30"/>
      <c r="O119" s="30"/>
      <c r="P119" s="30"/>
      <c r="Q119" s="30"/>
      <c r="R119" s="30"/>
      <c r="S119" s="30"/>
      <c r="T119" s="30"/>
      <c r="U119" s="30"/>
      <c r="V119" s="30"/>
      <c r="W119" s="30"/>
      <c r="X119" s="30"/>
      <c r="Y119" s="148"/>
      <c r="Z119" s="150">
        <f t="shared" ref="Z119" si="3">SUM(C119:Y119)</f>
        <v>100</v>
      </c>
    </row>
  </sheetData>
  <mergeCells count="2">
    <mergeCell ref="B2:B3"/>
    <mergeCell ref="Z2:Z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65"/>
  <sheetViews>
    <sheetView showGridLines="0" showZeros="0" zoomScaleNormal="100" workbookViewId="0">
      <selection activeCell="B22" sqref="B22:C22"/>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H1" s="33"/>
    </row>
    <row r="2" spans="1:33" ht="33" customHeight="1" thickBot="1" x14ac:dyDescent="0.45">
      <c r="A2" s="33"/>
      <c r="B2" s="36" t="str">
        <f>Date!B2</f>
        <v>010119</v>
      </c>
      <c r="C2" s="238">
        <v>-2</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6.6605516718956821</v>
      </c>
      <c r="C5" s="146" t="s">
        <v>13</v>
      </c>
      <c r="D5" s="253">
        <f>SUM(D7+E7+D9+E9+D11+E11)</f>
        <v>0.29554776132288946</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3.4097786153597838</v>
      </c>
      <c r="C7" s="103">
        <f>SUM(C9+B11+C11)</f>
        <v>0.51193636553371491</v>
      </c>
      <c r="D7" s="215">
        <f>H59</f>
        <v>0.2295091641190396</v>
      </c>
      <c r="E7" s="87">
        <f>I59</f>
        <v>6.6038597203849858E-2</v>
      </c>
      <c r="F7" s="89">
        <f>L59</f>
        <v>2.6578173537677766E-3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0.42410475915289458</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8.783160638082034E-2</v>
      </c>
      <c r="C11" s="71">
        <f>F59</f>
        <v>0</v>
      </c>
      <c r="D11" s="87">
        <f>K59</f>
        <v>0</v>
      </c>
      <c r="E11" s="204">
        <f>U59</f>
        <v>0</v>
      </c>
      <c r="F11" s="91">
        <f>P59</f>
        <v>0</v>
      </c>
      <c r="G11" s="91">
        <f>Q59</f>
        <v>1.839459569370437E-3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39.215686274509807</v>
      </c>
      <c r="D18" s="100" t="str">
        <f t="shared" ref="D18:D29" si="0">B18</f>
        <v>Neph Sy</v>
      </c>
      <c r="E18" s="99">
        <f t="shared" ref="E18:E29" si="1">C18/$Y$56*100</f>
        <v>39.215686274509814</v>
      </c>
      <c r="F18" s="98" t="str">
        <f>B18</f>
        <v>Neph Sy</v>
      </c>
      <c r="G18" s="99">
        <f t="shared" ref="G18:G29" si="2">E18*$G$17/100</f>
        <v>39.215686274509814</v>
      </c>
      <c r="H18" s="33"/>
      <c r="AD18" s="35"/>
      <c r="AE18" s="52"/>
    </row>
    <row r="19" spans="1:31" x14ac:dyDescent="0.5">
      <c r="A19" s="33"/>
      <c r="B19" s="95" t="s">
        <v>51</v>
      </c>
      <c r="C19" s="96">
        <v>19.607843137254903</v>
      </c>
      <c r="D19" s="100" t="str">
        <f t="shared" si="0"/>
        <v>Whiting</v>
      </c>
      <c r="E19" s="101">
        <f t="shared" si="1"/>
        <v>19.607843137254907</v>
      </c>
      <c r="F19" s="100" t="str">
        <f>B19</f>
        <v>Whiting</v>
      </c>
      <c r="G19" s="101">
        <f t="shared" si="2"/>
        <v>19.607843137254907</v>
      </c>
      <c r="H19" s="33"/>
      <c r="AE19" s="52"/>
    </row>
    <row r="20" spans="1:31" ht="18.75" customHeight="1" x14ac:dyDescent="0.5">
      <c r="A20" s="33"/>
      <c r="B20" s="95" t="s">
        <v>26</v>
      </c>
      <c r="C20" s="96">
        <v>29.411764705882348</v>
      </c>
      <c r="D20" s="100" t="str">
        <f t="shared" si="0"/>
        <v xml:space="preserve">Flint </v>
      </c>
      <c r="E20" s="101">
        <f t="shared" si="1"/>
        <v>29.411764705882355</v>
      </c>
      <c r="F20" s="100" t="str">
        <f t="shared" ref="F20:F29" si="3">B20</f>
        <v xml:space="preserve">Flint </v>
      </c>
      <c r="G20" s="101">
        <f t="shared" si="2"/>
        <v>29.411764705882355</v>
      </c>
      <c r="H20" s="33"/>
      <c r="AE20" s="52"/>
    </row>
    <row r="21" spans="1:31" x14ac:dyDescent="0.5">
      <c r="A21" s="33"/>
      <c r="B21" s="95" t="s">
        <v>22</v>
      </c>
      <c r="C21" s="96">
        <v>9.8039215686274517</v>
      </c>
      <c r="D21" s="100" t="str">
        <f>B21</f>
        <v>EPK</v>
      </c>
      <c r="E21" s="101">
        <f t="shared" si="1"/>
        <v>9.8039215686274535</v>
      </c>
      <c r="F21" s="100" t="str">
        <f t="shared" si="3"/>
        <v>EPK</v>
      </c>
      <c r="G21" s="101">
        <f t="shared" si="2"/>
        <v>9.8039215686274535</v>
      </c>
      <c r="H21" s="33"/>
      <c r="AE21" s="52"/>
    </row>
    <row r="22" spans="1:31" ht="20.25" customHeight="1" x14ac:dyDescent="0.5">
      <c r="A22" s="33"/>
      <c r="B22" s="95" t="s">
        <v>87</v>
      </c>
      <c r="C22" s="96">
        <v>1.9607843137254899</v>
      </c>
      <c r="D22" s="100" t="str">
        <f t="shared" si="0"/>
        <v>Titanium Dioxide</v>
      </c>
      <c r="E22" s="101">
        <f t="shared" si="1"/>
        <v>1.9607843137254901</v>
      </c>
      <c r="F22" s="100" t="str">
        <f t="shared" si="3"/>
        <v>Titanium Dioxide</v>
      </c>
      <c r="G22" s="101">
        <f t="shared" si="2"/>
        <v>1.9607843137254901</v>
      </c>
      <c r="H22" s="33"/>
      <c r="AC22" s="35"/>
      <c r="AE22" s="52"/>
    </row>
    <row r="23" spans="1:31" x14ac:dyDescent="0.5">
      <c r="A23" s="33"/>
      <c r="B23" s="95">
        <v>0</v>
      </c>
      <c r="C23" s="96">
        <v>0</v>
      </c>
      <c r="D23" s="100">
        <f t="shared" si="0"/>
        <v>0</v>
      </c>
      <c r="E23" s="101">
        <f t="shared" si="1"/>
        <v>0</v>
      </c>
      <c r="F23" s="100">
        <f t="shared" si="3"/>
        <v>0</v>
      </c>
      <c r="G23" s="101">
        <f t="shared" si="2"/>
        <v>0</v>
      </c>
      <c r="H23" s="33"/>
      <c r="I23" s="53"/>
      <c r="AC23" s="35"/>
      <c r="AE23" s="52"/>
    </row>
    <row r="24" spans="1:31" x14ac:dyDescent="0.5">
      <c r="A24" s="33"/>
      <c r="B24" s="95">
        <v>0</v>
      </c>
      <c r="C24" s="96">
        <v>0</v>
      </c>
      <c r="D24" s="100">
        <f t="shared" si="0"/>
        <v>0</v>
      </c>
      <c r="E24" s="101">
        <f t="shared" si="1"/>
        <v>0</v>
      </c>
      <c r="F24" s="100">
        <f t="shared" si="3"/>
        <v>0</v>
      </c>
      <c r="G24" s="101">
        <f t="shared" si="2"/>
        <v>0</v>
      </c>
      <c r="H24" s="54"/>
      <c r="I24" s="53"/>
      <c r="AC24" s="35"/>
      <c r="AE24" s="52"/>
    </row>
    <row r="25" spans="1:31" ht="21" customHeight="1" x14ac:dyDescent="0.5">
      <c r="A25" s="33"/>
      <c r="B25" s="95">
        <v>0</v>
      </c>
      <c r="C25" s="96">
        <v>0</v>
      </c>
      <c r="D25" s="100">
        <f t="shared" si="0"/>
        <v>0</v>
      </c>
      <c r="E25" s="101">
        <f t="shared" si="1"/>
        <v>0</v>
      </c>
      <c r="F25" s="100">
        <f t="shared" si="3"/>
        <v>0</v>
      </c>
      <c r="G25" s="101">
        <f t="shared" si="2"/>
        <v>0</v>
      </c>
      <c r="H25" s="33"/>
      <c r="I25" s="10"/>
      <c r="AC25" s="35"/>
      <c r="AE25" s="52"/>
    </row>
    <row r="26" spans="1:31" ht="19.5" customHeight="1" x14ac:dyDescent="0.5">
      <c r="A26" s="33"/>
      <c r="B26" s="95">
        <v>0</v>
      </c>
      <c r="C26" s="96">
        <v>0</v>
      </c>
      <c r="D26" s="100">
        <f t="shared" si="0"/>
        <v>0</v>
      </c>
      <c r="E26" s="101">
        <f t="shared" si="1"/>
        <v>0</v>
      </c>
      <c r="F26" s="100">
        <f t="shared" si="3"/>
        <v>0</v>
      </c>
      <c r="G26" s="101">
        <f t="shared" si="2"/>
        <v>0</v>
      </c>
      <c r="H26" s="33"/>
      <c r="I26" s="18"/>
      <c r="AC26" s="35"/>
      <c r="AE26" s="52"/>
    </row>
    <row r="27" spans="1:31" ht="20.25" customHeight="1" x14ac:dyDescent="0.5">
      <c r="A27" s="33"/>
      <c r="B27" s="95">
        <v>0</v>
      </c>
      <c r="C27" s="96">
        <v>0</v>
      </c>
      <c r="D27" s="100">
        <f t="shared" si="0"/>
        <v>0</v>
      </c>
      <c r="E27" s="101">
        <f t="shared" si="1"/>
        <v>0</v>
      </c>
      <c r="F27" s="100">
        <f t="shared" si="3"/>
        <v>0</v>
      </c>
      <c r="G27" s="101">
        <f t="shared" si="2"/>
        <v>0</v>
      </c>
      <c r="H27" s="33"/>
      <c r="I27" s="18"/>
      <c r="AC27" s="35"/>
      <c r="AE27" s="52"/>
    </row>
    <row r="28" spans="1:31" x14ac:dyDescent="0.5">
      <c r="A28" s="33"/>
      <c r="B28" s="95">
        <v>0</v>
      </c>
      <c r="C28" s="96">
        <v>0</v>
      </c>
      <c r="D28" s="100">
        <f t="shared" si="0"/>
        <v>0</v>
      </c>
      <c r="E28" s="101">
        <f t="shared" si="1"/>
        <v>0</v>
      </c>
      <c r="F28" s="100">
        <f t="shared" si="3"/>
        <v>0</v>
      </c>
      <c r="G28" s="101">
        <f t="shared" si="2"/>
        <v>0</v>
      </c>
      <c r="H28" s="33"/>
      <c r="I28" s="18"/>
      <c r="AC28" s="35"/>
      <c r="AE28" s="52"/>
    </row>
    <row r="29" spans="1:31" x14ac:dyDescent="0.5">
      <c r="A29" s="33"/>
      <c r="B29" s="95">
        <v>0</v>
      </c>
      <c r="C29" s="96">
        <v>0</v>
      </c>
      <c r="D29" s="100">
        <f t="shared" si="0"/>
        <v>0</v>
      </c>
      <c r="E29" s="101">
        <f t="shared" si="1"/>
        <v>0</v>
      </c>
      <c r="F29" s="100">
        <f t="shared" si="3"/>
        <v>0</v>
      </c>
      <c r="G29" s="101">
        <f t="shared" si="2"/>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24.29411764705883</v>
      </c>
      <c r="C38" s="29">
        <f>IF(ISNA(VLOOKUP($B18,'Chemical Analysis'!$B$4:$Y$119,3,0)),"",(VLOOKUP($B18,'Chemical Analysis'!$B$4:$Y$119,3,0))*$E18/100)</f>
        <v>0</v>
      </c>
      <c r="D38" s="29">
        <f>IF(ISNA(VLOOKUP($B18,'Chemical Analysis'!$B$4:$Y$119,4,0)),"",(VLOOKUP($B18,'Chemical Analysis'!$B$4:$Y$119,4,0))*$E18/100)</f>
        <v>8.6666666666666696</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4.0352941176470596</v>
      </c>
      <c r="I38" s="29">
        <f>IF(ISNA(VLOOKUP($B18,'Chemical Analysis'!$B$4:$Y$119,9,0)),"",(VLOOKUP($B18,'Chemical Analysis'!$B$4:$Y$119,9,0))*$E18/100)</f>
        <v>1.7254901960784321</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1.1764705882352944E-2</v>
      </c>
      <c r="M38" s="29">
        <f>IF(ISNA(VLOOKUP($B18,'Chemical Analysis'!$B$4:$Y$119,13,0)),"",(VLOOKUP($B18,'Chemical Analysis'!$B$4:$Y$119,13,0))*$E18/100)</f>
        <v>0.14117647058823532</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1.5686274509803925E-2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1.9607843137254906E-3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10.986274509803925</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28.982352941176472</v>
      </c>
      <c r="C40" s="29">
        <f>IF(ISNA(VLOOKUP($B20,'Chemical Analysis'!$B$4:$Y$119,3,0)),"",(VLOOKUP($B20,'Chemical Analysis'!$B$4:$Y$119,3,0))*$E20/100)</f>
        <v>0</v>
      </c>
      <c r="D40" s="29">
        <f>IF(ISNA(VLOOKUP($B20,'Chemical Analysis'!$B$4:$Y$119,4,0)),"",(VLOOKUP($B20,'Chemical Analysis'!$B$4:$Y$119,4,0))*$E20/100)</f>
        <v>0.12352941176470589</v>
      </c>
      <c r="E40" s="29">
        <f>IF(ISNA(VLOOKUP($B20,'Chemical Analysis'!$B$4:$Y$119,5,0)),"",(VLOOKUP($B20,'Chemical Analysis'!$B$4:$Y$119,5,0))*$E20/100)</f>
        <v>1.7647058823529415E-2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2.9411764705882353E-3</v>
      </c>
      <c r="M40" s="29">
        <f>IF(ISNA(VLOOKUP($B20,'Chemical Analysis'!$B$4:$Y$119,13,0)),"",(VLOOKUP($B20,'Chemical Analysis'!$B$4:$Y$119,13,0))*$E20/100)</f>
        <v>2.9411764705882353E-3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1.7647058823529415E-2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4.8470588235294123</v>
      </c>
      <c r="C41" s="29">
        <f>IF(ISNA(VLOOKUP($B21,'Chemical Analysis'!$B$4:$Y$119,3,0)),"",(VLOOKUP($B21,'Chemical Analysis'!$B$4:$Y$119,3,0))*$E21/100)</f>
        <v>0</v>
      </c>
      <c r="D41" s="29">
        <f>IF(ISNA(VLOOKUP($B21,'Chemical Analysis'!$B$4:$Y$119,4,0)),"",(VLOOKUP($B21,'Chemical Analysis'!$B$4:$Y$119,4,0))*$E21/100)</f>
        <v>3.4764705882352951</v>
      </c>
      <c r="E41" s="29">
        <f>IF(ISNA(VLOOKUP($B21,'Chemical Analysis'!$B$4:$Y$119,5,0)),"",(VLOOKUP($B21,'Chemical Analysis'!$B$4:$Y$119,5,0))*$E21/100)</f>
        <v>3.529411764705883E-2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3.9215686274509817E-2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1.5686274509803925E-2</v>
      </c>
      <c r="M41" s="29">
        <f>IF(ISNA(VLOOKUP($B21,'Chemical Analysis'!$B$4:$Y$119,13,0)),"",(VLOOKUP($B21,'Chemical Analysis'!$B$4:$Y$119,13,0))*$E21/100)</f>
        <v>4.9019607843137272E-3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5.0000000000000017E-2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1.9607843137254901</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58.123529411764707</v>
      </c>
      <c r="C54" s="55">
        <f t="shared" ref="C54:W54" si="8">SUM(C38:C53)</f>
        <v>0</v>
      </c>
      <c r="D54" s="55">
        <f t="shared" si="8"/>
        <v>12.266666666666669</v>
      </c>
      <c r="E54" s="55">
        <f t="shared" si="8"/>
        <v>2.0156862745098039</v>
      </c>
      <c r="F54" s="55">
        <f t="shared" si="8"/>
        <v>0</v>
      </c>
      <c r="G54" s="55">
        <f t="shared" si="8"/>
        <v>0</v>
      </c>
      <c r="H54" s="55">
        <f t="shared" si="8"/>
        <v>4.0352941176470596</v>
      </c>
      <c r="I54" s="55">
        <f t="shared" si="8"/>
        <v>1.764705882352942</v>
      </c>
      <c r="J54" s="55">
        <f t="shared" si="8"/>
        <v>0</v>
      </c>
      <c r="K54" s="55">
        <f t="shared" si="8"/>
        <v>0</v>
      </c>
      <c r="L54" s="55">
        <f t="shared" si="8"/>
        <v>3.0392156862745105E-2</v>
      </c>
      <c r="M54" s="55">
        <f t="shared" si="8"/>
        <v>11.135294117647064</v>
      </c>
      <c r="N54" s="55">
        <f t="shared" si="8"/>
        <v>0</v>
      </c>
      <c r="O54" s="55">
        <f t="shared" si="8"/>
        <v>0</v>
      </c>
      <c r="P54" s="55">
        <f t="shared" si="8"/>
        <v>0</v>
      </c>
      <c r="Q54" s="55">
        <f t="shared" si="8"/>
        <v>8.3333333333333356E-2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99.999999999999986</v>
      </c>
      <c r="Z56" s="35"/>
      <c r="AE56"/>
      <c r="AF56"/>
      <c r="AG56"/>
      <c r="AH56"/>
    </row>
    <row r="57" spans="2:34" ht="12.9" thickBot="1" x14ac:dyDescent="0.35">
      <c r="B57" s="192">
        <f t="shared" ref="B57:X57" si="9">B$54/B$56</f>
        <v>0.96727457832858554</v>
      </c>
      <c r="C57" s="193">
        <f t="shared" si="9"/>
        <v>0</v>
      </c>
      <c r="D57" s="193">
        <f t="shared" si="9"/>
        <v>0.12030861775859818</v>
      </c>
      <c r="E57" s="193">
        <f t="shared" si="9"/>
        <v>2.4915775951913518E-2</v>
      </c>
      <c r="F57" s="193">
        <f t="shared" si="9"/>
        <v>0</v>
      </c>
      <c r="G57" s="193">
        <f t="shared" si="9"/>
        <v>0</v>
      </c>
      <c r="H57" s="193">
        <f t="shared" si="9"/>
        <v>6.5106391055938365E-2</v>
      </c>
      <c r="I57" s="193">
        <f t="shared" si="9"/>
        <v>1.8733608092918703E-2</v>
      </c>
      <c r="J57" s="193">
        <f t="shared" si="9"/>
        <v>0</v>
      </c>
      <c r="K57" s="193">
        <f t="shared" si="9"/>
        <v>0</v>
      </c>
      <c r="L57" s="193">
        <f t="shared" si="9"/>
        <v>7.5396072594257268E-4</v>
      </c>
      <c r="M57" s="193">
        <f t="shared" si="9"/>
        <v>0.19856087941596048</v>
      </c>
      <c r="N57" s="193">
        <f t="shared" si="9"/>
        <v>0</v>
      </c>
      <c r="O57" s="193">
        <f t="shared" si="9"/>
        <v>0</v>
      </c>
      <c r="P57" s="193">
        <f t="shared" si="9"/>
        <v>0</v>
      </c>
      <c r="Q57" s="193">
        <f t="shared" si="9"/>
        <v>5.218117303276979E-4</v>
      </c>
      <c r="R57" s="193">
        <f t="shared" si="9"/>
        <v>0</v>
      </c>
      <c r="S57" s="193">
        <f t="shared" si="9"/>
        <v>0</v>
      </c>
      <c r="T57" s="193">
        <f t="shared" si="9"/>
        <v>0</v>
      </c>
      <c r="U57" s="193">
        <f t="shared" si="9"/>
        <v>0</v>
      </c>
      <c r="V57" s="193">
        <f t="shared" si="9"/>
        <v>0</v>
      </c>
      <c r="W57" s="193">
        <f t="shared" si="9"/>
        <v>0</v>
      </c>
      <c r="X57" s="194">
        <f t="shared" si="9"/>
        <v>0</v>
      </c>
      <c r="Y57" s="104">
        <f>SUM(B57:X57)</f>
        <v>1.3961756230601852</v>
      </c>
      <c r="Z57" s="35"/>
      <c r="AE57"/>
      <c r="AF57"/>
      <c r="AG57"/>
      <c r="AH57"/>
    </row>
    <row r="58" spans="2:34" ht="12.9" thickBot="1" x14ac:dyDescent="0.35">
      <c r="B58" s="187">
        <f t="shared" ref="B58:X58" si="10">B57/$Y$57*100</f>
        <v>69.280294137243288</v>
      </c>
      <c r="C58" s="30">
        <f t="shared" si="10"/>
        <v>0</v>
      </c>
      <c r="D58" s="30">
        <f t="shared" si="10"/>
        <v>8.617011769257342</v>
      </c>
      <c r="E58" s="30">
        <f t="shared" si="10"/>
        <v>1.7845731969809269</v>
      </c>
      <c r="F58" s="30">
        <f t="shared" si="10"/>
        <v>0</v>
      </c>
      <c r="G58" s="30">
        <f t="shared" si="10"/>
        <v>0</v>
      </c>
      <c r="H58" s="30">
        <f t="shared" si="10"/>
        <v>4.6631949434295352</v>
      </c>
      <c r="I58" s="30">
        <f t="shared" si="10"/>
        <v>1.3417802018243052</v>
      </c>
      <c r="J58" s="30">
        <f t="shared" si="10"/>
        <v>0</v>
      </c>
      <c r="K58" s="30">
        <f t="shared" si="10"/>
        <v>0</v>
      </c>
      <c r="L58" s="30">
        <f t="shared" si="10"/>
        <v>5.4001854314718364E-2</v>
      </c>
      <c r="M58" s="30">
        <f t="shared" si="10"/>
        <v>14.221769535035142</v>
      </c>
      <c r="N58" s="30">
        <f t="shared" si="10"/>
        <v>0</v>
      </c>
      <c r="O58" s="30">
        <f t="shared" si="10"/>
        <v>0</v>
      </c>
      <c r="P58" s="30">
        <f t="shared" si="10"/>
        <v>0</v>
      </c>
      <c r="Q58" s="30">
        <f t="shared" si="10"/>
        <v>3.7374361914726262E-2</v>
      </c>
      <c r="R58" s="30">
        <f t="shared" si="10"/>
        <v>0</v>
      </c>
      <c r="S58" s="30">
        <f t="shared" si="10"/>
        <v>0</v>
      </c>
      <c r="T58" s="30">
        <f t="shared" si="10"/>
        <v>0</v>
      </c>
      <c r="U58" s="30">
        <f t="shared" si="10"/>
        <v>0</v>
      </c>
      <c r="V58" s="30">
        <f t="shared" si="10"/>
        <v>0</v>
      </c>
      <c r="W58" s="30">
        <f t="shared" si="10"/>
        <v>0</v>
      </c>
      <c r="X58" s="188">
        <f t="shared" si="10"/>
        <v>0</v>
      </c>
      <c r="Y58" s="104">
        <f>SUM(G58:U58)</f>
        <v>20.318120896518426</v>
      </c>
      <c r="Z58" s="35"/>
      <c r="AE58"/>
      <c r="AF58"/>
      <c r="AG58"/>
      <c r="AH58"/>
    </row>
    <row r="59" spans="2:34" ht="12.9" thickBot="1" x14ac:dyDescent="0.35">
      <c r="B59" s="189">
        <f t="shared" ref="B59:X59" si="11">B58/$Y$58</f>
        <v>3.4097786153597838</v>
      </c>
      <c r="C59" s="190">
        <f t="shared" si="11"/>
        <v>0</v>
      </c>
      <c r="D59" s="190">
        <f t="shared" si="11"/>
        <v>0.42410475915289458</v>
      </c>
      <c r="E59" s="190">
        <f t="shared" si="11"/>
        <v>8.783160638082034E-2</v>
      </c>
      <c r="F59" s="190">
        <f t="shared" si="11"/>
        <v>0</v>
      </c>
      <c r="G59" s="190">
        <f t="shared" si="11"/>
        <v>0</v>
      </c>
      <c r="H59" s="190">
        <f t="shared" si="11"/>
        <v>0.2295091641190396</v>
      </c>
      <c r="I59" s="190">
        <f t="shared" si="11"/>
        <v>6.6038597203849858E-2</v>
      </c>
      <c r="J59" s="190">
        <f t="shared" si="11"/>
        <v>0</v>
      </c>
      <c r="K59" s="190">
        <f t="shared" si="11"/>
        <v>0</v>
      </c>
      <c r="L59" s="190">
        <f t="shared" si="11"/>
        <v>2.6578173537677766E-3</v>
      </c>
      <c r="M59" s="190">
        <f t="shared" si="11"/>
        <v>0.69995496175397232</v>
      </c>
      <c r="N59" s="190">
        <f t="shared" si="11"/>
        <v>0</v>
      </c>
      <c r="O59" s="190">
        <f t="shared" si="11"/>
        <v>0</v>
      </c>
      <c r="P59" s="190">
        <f t="shared" si="11"/>
        <v>0</v>
      </c>
      <c r="Q59" s="190">
        <f t="shared" si="11"/>
        <v>1.839459569370437E-3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185E8335-3E23-4E01-930B-0E6E095BB9F8}">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18C8057D-A8D2-4965-80F5-35ED85891F11}">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B25CEFA0-079D-43E3-BDCE-F516870004C6}">
      <formula1>#REF!</formula1>
    </dataValidation>
    <dataValidation type="list" showInputMessage="1" showErrorMessage="1" sqref="B18:B33" xr:uid="{A6E70892-94CA-430B-BE1A-65B7EFA1A6AD}">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CE8D67-B342-4C4E-9A46-B12C65CE4513}">
          <x14:formula1>
            <xm:f>'Chemical Analysis'!$AA$4:$AA$27</xm:f>
          </x14:formula1>
          <xm:sqref>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I65"/>
  <sheetViews>
    <sheetView showGridLines="0" showZeros="0" zoomScaleNormal="100" workbookViewId="0">
      <selection activeCell="C27" sqref="C27"/>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H1" s="33"/>
    </row>
    <row r="2" spans="1:33" ht="33" customHeight="1" thickBot="1" x14ac:dyDescent="0.45">
      <c r="A2" s="33"/>
      <c r="B2" s="36" t="str">
        <f>Date!B2</f>
        <v>010119</v>
      </c>
      <c r="C2" s="238">
        <v>-3</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6.1475554253130271</v>
      </c>
      <c r="C5" s="146" t="s">
        <v>13</v>
      </c>
      <c r="D5" s="253">
        <f>SUM(D7+E7+D9+E9+D11+E11)</f>
        <v>0.29554776132288951</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3.4097786153597855</v>
      </c>
      <c r="C7" s="103">
        <f>SUM(C9+B11+C11)</f>
        <v>0.55465601844267443</v>
      </c>
      <c r="D7" s="215">
        <f>H59</f>
        <v>0.22950916411903963</v>
      </c>
      <c r="E7" s="87">
        <f>I59</f>
        <v>6.6038597203849872E-2</v>
      </c>
      <c r="F7" s="89">
        <f>L59</f>
        <v>2.657817353767777E-3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0.42410475915289469</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0.13055125928977973</v>
      </c>
      <c r="C11" s="71">
        <f>F59</f>
        <v>0</v>
      </c>
      <c r="D11" s="87">
        <f>K59</f>
        <v>0</v>
      </c>
      <c r="E11" s="204">
        <f>U59</f>
        <v>0</v>
      </c>
      <c r="F11" s="91">
        <f>P59</f>
        <v>0</v>
      </c>
      <c r="G11" s="91">
        <f>Q59</f>
        <v>1.8394595693704376E-3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38.834951456310677</v>
      </c>
      <c r="D18" s="98" t="str">
        <f>B18</f>
        <v>Neph Sy</v>
      </c>
      <c r="E18" s="99">
        <f t="shared" ref="E18:E29" si="0">C18/$Y$56*100</f>
        <v>38.834951456310677</v>
      </c>
      <c r="F18" s="98" t="str">
        <f>B18</f>
        <v>Neph Sy</v>
      </c>
      <c r="G18" s="99">
        <f t="shared" ref="G18:G29" si="1">E18*$G$17/100</f>
        <v>38.834951456310677</v>
      </c>
      <c r="H18" s="33"/>
      <c r="AD18" s="35"/>
      <c r="AE18" s="52"/>
    </row>
    <row r="19" spans="1:31" x14ac:dyDescent="0.5">
      <c r="A19" s="33"/>
      <c r="B19" s="95" t="s">
        <v>51</v>
      </c>
      <c r="C19" s="96">
        <v>19.417475728155338</v>
      </c>
      <c r="D19" s="100" t="str">
        <f t="shared" ref="D19:D29" si="2">B19</f>
        <v>Whiting</v>
      </c>
      <c r="E19" s="101">
        <f t="shared" si="0"/>
        <v>19.417475728155338</v>
      </c>
      <c r="F19" s="100" t="str">
        <f>B19</f>
        <v>Whiting</v>
      </c>
      <c r="G19" s="101">
        <f t="shared" si="1"/>
        <v>19.417475728155338</v>
      </c>
      <c r="H19" s="33"/>
      <c r="AE19" s="52"/>
    </row>
    <row r="20" spans="1:31" ht="18.75" customHeight="1" x14ac:dyDescent="0.5">
      <c r="A20" s="33"/>
      <c r="B20" s="95" t="s">
        <v>26</v>
      </c>
      <c r="C20" s="96">
        <v>29.126213592233007</v>
      </c>
      <c r="D20" s="100" t="str">
        <f t="shared" si="2"/>
        <v xml:space="preserve">Flint </v>
      </c>
      <c r="E20" s="101">
        <f t="shared" si="0"/>
        <v>29.126213592233007</v>
      </c>
      <c r="F20" s="100" t="str">
        <f t="shared" ref="F20:F29" si="3">B20</f>
        <v xml:space="preserve">Flint </v>
      </c>
      <c r="G20" s="101">
        <f t="shared" si="1"/>
        <v>29.126213592233007</v>
      </c>
      <c r="H20" s="33"/>
      <c r="AE20" s="52"/>
    </row>
    <row r="21" spans="1:31" x14ac:dyDescent="0.5">
      <c r="A21" s="33"/>
      <c r="B21" s="95" t="s">
        <v>22</v>
      </c>
      <c r="C21" s="96">
        <v>9.7087378640776691</v>
      </c>
      <c r="D21" s="100" t="str">
        <f>B21</f>
        <v>EPK</v>
      </c>
      <c r="E21" s="101">
        <f t="shared" si="0"/>
        <v>9.7087378640776691</v>
      </c>
      <c r="F21" s="100" t="str">
        <f t="shared" si="3"/>
        <v>EPK</v>
      </c>
      <c r="G21" s="101">
        <f t="shared" si="1"/>
        <v>9.7087378640776691</v>
      </c>
      <c r="H21" s="33"/>
      <c r="AE21" s="52"/>
    </row>
    <row r="22" spans="1:31" ht="20.25" customHeight="1" x14ac:dyDescent="0.5">
      <c r="A22" s="33"/>
      <c r="B22" s="95" t="s">
        <v>87</v>
      </c>
      <c r="C22" s="96">
        <v>2.912621359223301</v>
      </c>
      <c r="D22" s="100" t="str">
        <f t="shared" si="2"/>
        <v>Titanium Dioxide</v>
      </c>
      <c r="E22" s="101">
        <f t="shared" si="0"/>
        <v>2.912621359223301</v>
      </c>
      <c r="F22" s="100" t="str">
        <f t="shared" si="3"/>
        <v>Titanium Dioxide</v>
      </c>
      <c r="G22" s="101">
        <f t="shared" si="1"/>
        <v>2.912621359223301</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24.058252427184467</v>
      </c>
      <c r="C38" s="29">
        <f>IF(ISNA(VLOOKUP($B18,'Chemical Analysis'!$B$4:$Y$119,3,0)),"",(VLOOKUP($B18,'Chemical Analysis'!$B$4:$Y$119,3,0))*$E18/100)</f>
        <v>0</v>
      </c>
      <c r="D38" s="29">
        <f>IF(ISNA(VLOOKUP($B18,'Chemical Analysis'!$B$4:$Y$119,4,0)),"",(VLOOKUP($B18,'Chemical Analysis'!$B$4:$Y$119,4,0))*$E18/100)</f>
        <v>8.5825242718446599</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3.9961165048543683</v>
      </c>
      <c r="I38" s="29">
        <f>IF(ISNA(VLOOKUP($B18,'Chemical Analysis'!$B$4:$Y$119,9,0)),"",(VLOOKUP($B18,'Chemical Analysis'!$B$4:$Y$119,9,0))*$E18/100)</f>
        <v>1.70873786407767</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1.1650485436893203E-2</v>
      </c>
      <c r="M38" s="29">
        <f>IF(ISNA(VLOOKUP($B18,'Chemical Analysis'!$B$4:$Y$119,13,0)),"",(VLOOKUP($B18,'Chemical Analysis'!$B$4:$Y$119,13,0))*$E18/100)</f>
        <v>0.13980582524271845</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1.5533980582524271E-2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1.9417475728155339E-3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10.879611650485435</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28.70097087378641</v>
      </c>
      <c r="C40" s="29">
        <f>IF(ISNA(VLOOKUP($B20,'Chemical Analysis'!$B$4:$Y$119,3,0)),"",(VLOOKUP($B20,'Chemical Analysis'!$B$4:$Y$119,3,0))*$E20/100)</f>
        <v>0</v>
      </c>
      <c r="D40" s="29">
        <f>IF(ISNA(VLOOKUP($B20,'Chemical Analysis'!$B$4:$Y$119,4,0)),"",(VLOOKUP($B20,'Chemical Analysis'!$B$4:$Y$119,4,0))*$E20/100)</f>
        <v>0.12233009708737862</v>
      </c>
      <c r="E40" s="29">
        <f>IF(ISNA(VLOOKUP($B20,'Chemical Analysis'!$B$4:$Y$119,5,0)),"",(VLOOKUP($B20,'Chemical Analysis'!$B$4:$Y$119,5,0))*$E20/100)</f>
        <v>1.7475728155339806E-2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2.9126213592233006E-3</v>
      </c>
      <c r="M40" s="29">
        <f>IF(ISNA(VLOOKUP($B20,'Chemical Analysis'!$B$4:$Y$119,13,0)),"",(VLOOKUP($B20,'Chemical Analysis'!$B$4:$Y$119,13,0))*$E20/100)</f>
        <v>2.9126213592233006E-3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1.7475728155339806E-2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4.8</v>
      </c>
      <c r="C41" s="29">
        <f>IF(ISNA(VLOOKUP($B21,'Chemical Analysis'!$B$4:$Y$119,3,0)),"",(VLOOKUP($B21,'Chemical Analysis'!$B$4:$Y$119,3,0))*$E21/100)</f>
        <v>0</v>
      </c>
      <c r="D41" s="29">
        <f>IF(ISNA(VLOOKUP($B21,'Chemical Analysis'!$B$4:$Y$119,4,0)),"",(VLOOKUP($B21,'Chemical Analysis'!$B$4:$Y$119,4,0))*$E21/100)</f>
        <v>3.4427184466019418</v>
      </c>
      <c r="E41" s="29">
        <f>IF(ISNA(VLOOKUP($B21,'Chemical Analysis'!$B$4:$Y$119,5,0)),"",(VLOOKUP($B21,'Chemical Analysis'!$B$4:$Y$119,5,0))*$E21/100)</f>
        <v>3.4951456310679613E-2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3.8834951456310683E-2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1.5533980582524271E-2</v>
      </c>
      <c r="M41" s="29">
        <f>IF(ISNA(VLOOKUP($B21,'Chemical Analysis'!$B$4:$Y$119,13,0)),"",(VLOOKUP($B21,'Chemical Analysis'!$B$4:$Y$119,13,0))*$E21/100)</f>
        <v>4.8543689320388354E-3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4.9514563106796111E-2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2.912621359223301</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57.559223300970871</v>
      </c>
      <c r="C54" s="55">
        <f t="shared" ref="C54:W54" si="8">SUM(C38:C53)</f>
        <v>0</v>
      </c>
      <c r="D54" s="55">
        <f t="shared" si="8"/>
        <v>12.14757281553398</v>
      </c>
      <c r="E54" s="55">
        <f t="shared" si="8"/>
        <v>2.9669902912621358</v>
      </c>
      <c r="F54" s="55">
        <f t="shared" si="8"/>
        <v>0</v>
      </c>
      <c r="G54" s="55">
        <f t="shared" si="8"/>
        <v>0</v>
      </c>
      <c r="H54" s="55">
        <f t="shared" si="8"/>
        <v>3.9961165048543683</v>
      </c>
      <c r="I54" s="55">
        <f t="shared" si="8"/>
        <v>1.7475728155339807</v>
      </c>
      <c r="J54" s="55">
        <f t="shared" si="8"/>
        <v>0</v>
      </c>
      <c r="K54" s="55">
        <f t="shared" si="8"/>
        <v>0</v>
      </c>
      <c r="L54" s="55">
        <f t="shared" si="8"/>
        <v>3.0097087378640773E-2</v>
      </c>
      <c r="M54" s="55">
        <f t="shared" si="8"/>
        <v>11.027184466019415</v>
      </c>
      <c r="N54" s="55">
        <f t="shared" si="8"/>
        <v>0</v>
      </c>
      <c r="O54" s="55">
        <f t="shared" si="8"/>
        <v>0</v>
      </c>
      <c r="P54" s="55">
        <f t="shared" si="8"/>
        <v>0</v>
      </c>
      <c r="Q54" s="55">
        <f t="shared" si="8"/>
        <v>8.2524271844660185E-2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100</v>
      </c>
      <c r="Z56" s="35"/>
      <c r="AE56"/>
      <c r="AF56"/>
      <c r="AG56"/>
      <c r="AH56"/>
    </row>
    <row r="57" spans="2:34" ht="12.9" thickBot="1" x14ac:dyDescent="0.35">
      <c r="B57" s="192">
        <f t="shared" ref="B57:X57" si="9">B$54/B$56</f>
        <v>0.95788356300500699</v>
      </c>
      <c r="C57" s="193">
        <f t="shared" si="9"/>
        <v>0</v>
      </c>
      <c r="D57" s="193">
        <f t="shared" si="9"/>
        <v>0.1191405729259904</v>
      </c>
      <c r="E57" s="193">
        <f t="shared" si="9"/>
        <v>3.6674787283833568E-2</v>
      </c>
      <c r="F57" s="193">
        <f t="shared" si="9"/>
        <v>0</v>
      </c>
      <c r="G57" s="193">
        <f t="shared" si="9"/>
        <v>0</v>
      </c>
      <c r="H57" s="193">
        <f t="shared" si="9"/>
        <v>6.4474290171900109E-2</v>
      </c>
      <c r="I57" s="193">
        <f t="shared" si="9"/>
        <v>1.8551728402696185E-2</v>
      </c>
      <c r="J57" s="193">
        <f t="shared" si="9"/>
        <v>0</v>
      </c>
      <c r="K57" s="193">
        <f t="shared" si="9"/>
        <v>0</v>
      </c>
      <c r="L57" s="193">
        <f t="shared" si="9"/>
        <v>7.4664071889458624E-4</v>
      </c>
      <c r="M57" s="193">
        <f t="shared" si="9"/>
        <v>0.19663310388765007</v>
      </c>
      <c r="N57" s="193">
        <f t="shared" si="9"/>
        <v>0</v>
      </c>
      <c r="O57" s="193">
        <f t="shared" si="9"/>
        <v>0</v>
      </c>
      <c r="P57" s="193">
        <f t="shared" si="9"/>
        <v>0</v>
      </c>
      <c r="Q57" s="193">
        <f t="shared" si="9"/>
        <v>5.1674559702354539E-4</v>
      </c>
      <c r="R57" s="193">
        <f t="shared" si="9"/>
        <v>0</v>
      </c>
      <c r="S57" s="193">
        <f t="shared" si="9"/>
        <v>0</v>
      </c>
      <c r="T57" s="193">
        <f t="shared" si="9"/>
        <v>0</v>
      </c>
      <c r="U57" s="193">
        <f t="shared" si="9"/>
        <v>0</v>
      </c>
      <c r="V57" s="193">
        <f t="shared" si="9"/>
        <v>0</v>
      </c>
      <c r="W57" s="193">
        <f t="shared" si="9"/>
        <v>0</v>
      </c>
      <c r="X57" s="194">
        <f t="shared" si="9"/>
        <v>0</v>
      </c>
      <c r="Y57" s="104">
        <f>SUM(B57:X57)</f>
        <v>1.3946214319929955</v>
      </c>
      <c r="Z57" s="35"/>
      <c r="AE57"/>
      <c r="AF57"/>
      <c r="AG57"/>
      <c r="AH57"/>
    </row>
    <row r="58" spans="2:34" ht="12.9" thickBot="1" x14ac:dyDescent="0.35">
      <c r="B58" s="187">
        <f t="shared" ref="B58:X58" si="10">B57/$Y$57*100</f>
        <v>68.684127536756364</v>
      </c>
      <c r="C58" s="30">
        <f t="shared" si="10"/>
        <v>0</v>
      </c>
      <c r="D58" s="30">
        <f t="shared" si="10"/>
        <v>8.5428611803083765</v>
      </c>
      <c r="E58" s="30">
        <f t="shared" si="10"/>
        <v>2.6297306525271993</v>
      </c>
      <c r="F58" s="30">
        <f t="shared" si="10"/>
        <v>0</v>
      </c>
      <c r="G58" s="30">
        <f t="shared" si="10"/>
        <v>0</v>
      </c>
      <c r="H58" s="30">
        <f t="shared" si="10"/>
        <v>4.623067500100194</v>
      </c>
      <c r="I58" s="30">
        <f t="shared" si="10"/>
        <v>1.3302339959156286</v>
      </c>
      <c r="J58" s="30">
        <f t="shared" si="10"/>
        <v>0</v>
      </c>
      <c r="K58" s="30">
        <f t="shared" si="10"/>
        <v>0</v>
      </c>
      <c r="L58" s="30">
        <f t="shared" si="10"/>
        <v>5.3537160821312851E-2</v>
      </c>
      <c r="M58" s="30">
        <f t="shared" si="10"/>
        <v>14.0993892232568</v>
      </c>
      <c r="N58" s="30">
        <f t="shared" si="10"/>
        <v>0</v>
      </c>
      <c r="O58" s="30">
        <f t="shared" si="10"/>
        <v>0</v>
      </c>
      <c r="P58" s="30">
        <f t="shared" si="10"/>
        <v>0</v>
      </c>
      <c r="Q58" s="30">
        <f t="shared" si="10"/>
        <v>3.7052750314118275E-2</v>
      </c>
      <c r="R58" s="30">
        <f t="shared" si="10"/>
        <v>0</v>
      </c>
      <c r="S58" s="30">
        <f t="shared" si="10"/>
        <v>0</v>
      </c>
      <c r="T58" s="30">
        <f t="shared" si="10"/>
        <v>0</v>
      </c>
      <c r="U58" s="30">
        <f t="shared" si="10"/>
        <v>0</v>
      </c>
      <c r="V58" s="30">
        <f t="shared" si="10"/>
        <v>0</v>
      </c>
      <c r="W58" s="30">
        <f t="shared" si="10"/>
        <v>0</v>
      </c>
      <c r="X58" s="188">
        <f t="shared" si="10"/>
        <v>0</v>
      </c>
      <c r="Y58" s="104">
        <f>SUM(G58:U58)</f>
        <v>20.143280630408054</v>
      </c>
      <c r="Z58" s="35"/>
      <c r="AE58"/>
      <c r="AF58"/>
      <c r="AG58"/>
      <c r="AH58"/>
    </row>
    <row r="59" spans="2:34" ht="12.9" thickBot="1" x14ac:dyDescent="0.35">
      <c r="B59" s="189">
        <f t="shared" ref="B59:X59" si="11">B58/$Y$58</f>
        <v>3.4097786153597855</v>
      </c>
      <c r="C59" s="190">
        <f t="shared" si="11"/>
        <v>0</v>
      </c>
      <c r="D59" s="190">
        <f t="shared" si="11"/>
        <v>0.42410475915289469</v>
      </c>
      <c r="E59" s="190">
        <f t="shared" si="11"/>
        <v>0.13055125928977973</v>
      </c>
      <c r="F59" s="190">
        <f t="shared" si="11"/>
        <v>0</v>
      </c>
      <c r="G59" s="190">
        <f t="shared" si="11"/>
        <v>0</v>
      </c>
      <c r="H59" s="190">
        <f t="shared" si="11"/>
        <v>0.22950916411903963</v>
      </c>
      <c r="I59" s="190">
        <f t="shared" si="11"/>
        <v>6.6038597203849872E-2</v>
      </c>
      <c r="J59" s="190">
        <f t="shared" si="11"/>
        <v>0</v>
      </c>
      <c r="K59" s="190">
        <f t="shared" si="11"/>
        <v>0</v>
      </c>
      <c r="L59" s="190">
        <f t="shared" si="11"/>
        <v>2.657817353767777E-3</v>
      </c>
      <c r="M59" s="190">
        <f t="shared" si="11"/>
        <v>0.69995496175397232</v>
      </c>
      <c r="N59" s="190">
        <f t="shared" si="11"/>
        <v>0</v>
      </c>
      <c r="O59" s="190">
        <f t="shared" si="11"/>
        <v>0</v>
      </c>
      <c r="P59" s="190">
        <f t="shared" si="11"/>
        <v>0</v>
      </c>
      <c r="Q59" s="190">
        <f t="shared" si="11"/>
        <v>1.8394595693704376E-3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94E0898-E4B9-49B0-AEEC-C41DEE669E13}">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09738786-BE7D-44B2-B4FC-3B7FE4A072A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BE7F4461-39D0-4E02-87E7-9BFFF324A377}">
      <formula1>#REF!</formula1>
    </dataValidation>
    <dataValidation type="list" showInputMessage="1" showErrorMessage="1" sqref="B18:B33" xr:uid="{F03F4859-3CE9-42E0-9302-68E4C77C103C}">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98AE40A-6A63-4B6B-9259-CFEB2CD0D504}">
          <x14:formula1>
            <xm:f>'Chemical Analysis'!$AA$4:$AA$27</xm:f>
          </x14:formula1>
          <xm:sqref>G3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I65"/>
  <sheetViews>
    <sheetView showGridLines="0" showZeros="0" zoomScaleNormal="100" workbookViewId="0">
      <selection activeCell="W21" sqref="W21"/>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H1" s="33"/>
    </row>
    <row r="2" spans="1:33" ht="33" customHeight="1" thickBot="1" x14ac:dyDescent="0.45">
      <c r="A2" s="33"/>
      <c r="B2" s="36" t="str">
        <f>Date!B2</f>
        <v>010119</v>
      </c>
      <c r="C2" s="238">
        <v>-4</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5.7079301666985449</v>
      </c>
      <c r="C5" s="146" t="s">
        <v>13</v>
      </c>
      <c r="D5" s="253">
        <f>SUM(D7+E7+D9+E9+D11+E11)</f>
        <v>0.29554776132288951</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3.4097786153597851</v>
      </c>
      <c r="C7" s="103">
        <f>SUM(C9+B11+C11)</f>
        <v>0.59737567135163361</v>
      </c>
      <c r="D7" s="215">
        <f>H59</f>
        <v>0.22950916411903965</v>
      </c>
      <c r="E7" s="87">
        <f>I59</f>
        <v>6.6038597203849872E-2</v>
      </c>
      <c r="F7" s="89">
        <f>L59</f>
        <v>2.657817353767777E-3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0.42410475915289464</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0.17327091219873897</v>
      </c>
      <c r="C11" s="71">
        <f>F59</f>
        <v>0</v>
      </c>
      <c r="D11" s="87">
        <f>K59</f>
        <v>0</v>
      </c>
      <c r="E11" s="204">
        <f>U59</f>
        <v>0</v>
      </c>
      <c r="F11" s="91">
        <f>P59</f>
        <v>0</v>
      </c>
      <c r="G11" s="91">
        <f>Q59</f>
        <v>1.8394595693704374E-3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38.461538461538467</v>
      </c>
      <c r="D18" s="98" t="str">
        <f>B18</f>
        <v>Neph Sy</v>
      </c>
      <c r="E18" s="99">
        <f t="shared" ref="E18:E29" si="0">C18/$Y$56*100</f>
        <v>38.461538461538467</v>
      </c>
      <c r="F18" s="98" t="str">
        <f>B18</f>
        <v>Neph Sy</v>
      </c>
      <c r="G18" s="99">
        <f t="shared" ref="G18:G29" si="1">E18*$G$17/100</f>
        <v>38.461538461538467</v>
      </c>
      <c r="H18" s="33"/>
      <c r="AD18" s="35"/>
      <c r="AE18" s="52"/>
    </row>
    <row r="19" spans="1:31" x14ac:dyDescent="0.5">
      <c r="A19" s="33"/>
      <c r="B19" s="95" t="s">
        <v>51</v>
      </c>
      <c r="C19" s="96">
        <v>19.230769230769234</v>
      </c>
      <c r="D19" s="100" t="str">
        <f t="shared" ref="D19:D29" si="2">B19</f>
        <v>Whiting</v>
      </c>
      <c r="E19" s="101">
        <f t="shared" si="0"/>
        <v>19.230769230769234</v>
      </c>
      <c r="F19" s="100" t="str">
        <f>B19</f>
        <v>Whiting</v>
      </c>
      <c r="G19" s="101">
        <f t="shared" si="1"/>
        <v>19.230769230769234</v>
      </c>
      <c r="H19" s="33"/>
      <c r="AE19" s="52"/>
    </row>
    <row r="20" spans="1:31" ht="18.75" customHeight="1" x14ac:dyDescent="0.5">
      <c r="A20" s="33"/>
      <c r="B20" s="95" t="s">
        <v>26</v>
      </c>
      <c r="C20" s="96">
        <v>28.846153846153843</v>
      </c>
      <c r="D20" s="100" t="str">
        <f t="shared" si="2"/>
        <v xml:space="preserve">Flint </v>
      </c>
      <c r="E20" s="101">
        <f t="shared" si="0"/>
        <v>28.846153846153843</v>
      </c>
      <c r="F20" s="100" t="str">
        <f t="shared" ref="F20:F29" si="3">B20</f>
        <v xml:space="preserve">Flint </v>
      </c>
      <c r="G20" s="101">
        <f t="shared" si="1"/>
        <v>28.846153846153843</v>
      </c>
      <c r="H20" s="33"/>
      <c r="AE20" s="52"/>
    </row>
    <row r="21" spans="1:31" x14ac:dyDescent="0.5">
      <c r="A21" s="33"/>
      <c r="B21" s="95" t="s">
        <v>22</v>
      </c>
      <c r="C21" s="96">
        <v>9.6153846153846168</v>
      </c>
      <c r="D21" s="100" t="str">
        <f>B21</f>
        <v>EPK</v>
      </c>
      <c r="E21" s="101">
        <f t="shared" si="0"/>
        <v>9.6153846153846168</v>
      </c>
      <c r="F21" s="100" t="str">
        <f t="shared" si="3"/>
        <v>EPK</v>
      </c>
      <c r="G21" s="101">
        <f t="shared" si="1"/>
        <v>9.6153846153846168</v>
      </c>
      <c r="H21" s="33"/>
      <c r="AE21" s="52"/>
    </row>
    <row r="22" spans="1:31" ht="20.25" customHeight="1" x14ac:dyDescent="0.5">
      <c r="A22" s="33"/>
      <c r="B22" s="95" t="s">
        <v>87</v>
      </c>
      <c r="C22" s="96">
        <v>3.8461538461538463</v>
      </c>
      <c r="D22" s="100" t="str">
        <f t="shared" si="2"/>
        <v>Titanium Dioxide</v>
      </c>
      <c r="E22" s="101">
        <f t="shared" si="0"/>
        <v>3.8461538461538463</v>
      </c>
      <c r="F22" s="100" t="str">
        <f t="shared" si="3"/>
        <v>Titanium Dioxide</v>
      </c>
      <c r="G22" s="101">
        <f t="shared" si="1"/>
        <v>3.8461538461538463</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23.82692307692308</v>
      </c>
      <c r="C38" s="29">
        <f>IF(ISNA(VLOOKUP($B18,'Chemical Analysis'!$B$4:$Y$119,3,0)),"",(VLOOKUP($B18,'Chemical Analysis'!$B$4:$Y$119,3,0))*$E18/100)</f>
        <v>0</v>
      </c>
      <c r="D38" s="29">
        <f>IF(ISNA(VLOOKUP($B18,'Chemical Analysis'!$B$4:$Y$119,4,0)),"",(VLOOKUP($B18,'Chemical Analysis'!$B$4:$Y$119,4,0))*$E18/100)</f>
        <v>8.5000000000000018</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3.9576923076923078</v>
      </c>
      <c r="I38" s="29">
        <f>IF(ISNA(VLOOKUP($B18,'Chemical Analysis'!$B$4:$Y$119,9,0)),"",(VLOOKUP($B18,'Chemical Analysis'!$B$4:$Y$119,9,0))*$E18/100)</f>
        <v>1.6923076923076925</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1.1538461538461539E-2</v>
      </c>
      <c r="M38" s="29">
        <f>IF(ISNA(VLOOKUP($B18,'Chemical Analysis'!$B$4:$Y$119,13,0)),"",(VLOOKUP($B18,'Chemical Analysis'!$B$4:$Y$119,13,0))*$E18/100)</f>
        <v>0.1384615384615385</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1.5384615384615387E-2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1.9230769230769234E-3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10.775000000000002</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28.425000000000001</v>
      </c>
      <c r="C40" s="29">
        <f>IF(ISNA(VLOOKUP($B20,'Chemical Analysis'!$B$4:$Y$119,3,0)),"",(VLOOKUP($B20,'Chemical Analysis'!$B$4:$Y$119,3,0))*$E20/100)</f>
        <v>0</v>
      </c>
      <c r="D40" s="29">
        <f>IF(ISNA(VLOOKUP($B20,'Chemical Analysis'!$B$4:$Y$119,4,0)),"",(VLOOKUP($B20,'Chemical Analysis'!$B$4:$Y$119,4,0))*$E20/100)</f>
        <v>0.12115384615384613</v>
      </c>
      <c r="E40" s="29">
        <f>IF(ISNA(VLOOKUP($B20,'Chemical Analysis'!$B$4:$Y$119,5,0)),"",(VLOOKUP($B20,'Chemical Analysis'!$B$4:$Y$119,5,0))*$E20/100)</f>
        <v>1.7307692307692305E-2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2.8846153846153843E-3</v>
      </c>
      <c r="M40" s="29">
        <f>IF(ISNA(VLOOKUP($B20,'Chemical Analysis'!$B$4:$Y$119,13,0)),"",(VLOOKUP($B20,'Chemical Analysis'!$B$4:$Y$119,13,0))*$E20/100)</f>
        <v>2.8846153846153843E-3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1.7307692307692305E-2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4.7538461538461538</v>
      </c>
      <c r="C41" s="29">
        <f>IF(ISNA(VLOOKUP($B21,'Chemical Analysis'!$B$4:$Y$119,3,0)),"",(VLOOKUP($B21,'Chemical Analysis'!$B$4:$Y$119,3,0))*$E21/100)</f>
        <v>0</v>
      </c>
      <c r="D41" s="29">
        <f>IF(ISNA(VLOOKUP($B21,'Chemical Analysis'!$B$4:$Y$119,4,0)),"",(VLOOKUP($B21,'Chemical Analysis'!$B$4:$Y$119,4,0))*$E21/100)</f>
        <v>3.4096153846153849</v>
      </c>
      <c r="E41" s="29">
        <f>IF(ISNA(VLOOKUP($B21,'Chemical Analysis'!$B$4:$Y$119,5,0)),"",(VLOOKUP($B21,'Chemical Analysis'!$B$4:$Y$119,5,0))*$E21/100)</f>
        <v>3.4615384615384624E-2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3.8461538461538464E-2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1.5384615384615387E-2</v>
      </c>
      <c r="M41" s="29">
        <f>IF(ISNA(VLOOKUP($B21,'Chemical Analysis'!$B$4:$Y$119,13,0)),"",(VLOOKUP($B21,'Chemical Analysis'!$B$4:$Y$119,13,0))*$E21/100)</f>
        <v>4.807692307692308E-3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4.9038461538461545E-2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3.8461538461538463</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57.005769230769232</v>
      </c>
      <c r="C54" s="55">
        <f t="shared" ref="C54:W54" si="8">SUM(C38:C53)</f>
        <v>0</v>
      </c>
      <c r="D54" s="55">
        <f t="shared" si="8"/>
        <v>12.030769230769232</v>
      </c>
      <c r="E54" s="55">
        <f t="shared" si="8"/>
        <v>3.9</v>
      </c>
      <c r="F54" s="55">
        <f t="shared" si="8"/>
        <v>0</v>
      </c>
      <c r="G54" s="55">
        <f t="shared" si="8"/>
        <v>0</v>
      </c>
      <c r="H54" s="55">
        <f t="shared" si="8"/>
        <v>3.9576923076923078</v>
      </c>
      <c r="I54" s="55">
        <f t="shared" si="8"/>
        <v>1.7307692307692311</v>
      </c>
      <c r="J54" s="55">
        <f t="shared" si="8"/>
        <v>0</v>
      </c>
      <c r="K54" s="55">
        <f t="shared" si="8"/>
        <v>0</v>
      </c>
      <c r="L54" s="55">
        <f t="shared" si="8"/>
        <v>2.9807692307692313E-2</v>
      </c>
      <c r="M54" s="55">
        <f t="shared" si="8"/>
        <v>10.921153846153848</v>
      </c>
      <c r="N54" s="55">
        <f t="shared" si="8"/>
        <v>0</v>
      </c>
      <c r="O54" s="55">
        <f t="shared" si="8"/>
        <v>0</v>
      </c>
      <c r="P54" s="55">
        <f t="shared" si="8"/>
        <v>0</v>
      </c>
      <c r="Q54" s="55">
        <f t="shared" si="8"/>
        <v>8.1730769230769246E-2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100</v>
      </c>
      <c r="Z56" s="35"/>
      <c r="AE56"/>
      <c r="AF56"/>
      <c r="AG56"/>
      <c r="AH56"/>
    </row>
    <row r="57" spans="2:34" ht="12.9" thickBot="1" x14ac:dyDescent="0.35">
      <c r="B57" s="192">
        <f t="shared" ref="B57:X57" si="9">B$54/B$56</f>
        <v>0.94867314412995885</v>
      </c>
      <c r="C57" s="193">
        <f t="shared" si="9"/>
        <v>0</v>
      </c>
      <c r="D57" s="193">
        <f t="shared" si="9"/>
        <v>0.11799499049400974</v>
      </c>
      <c r="E57" s="193">
        <f t="shared" si="9"/>
        <v>4.8207663782447459E-2</v>
      </c>
      <c r="F57" s="193">
        <f t="shared" si="9"/>
        <v>0</v>
      </c>
      <c r="G57" s="193">
        <f t="shared" si="9"/>
        <v>0</v>
      </c>
      <c r="H57" s="193">
        <f t="shared" si="9"/>
        <v>6.3854345074093391E-2</v>
      </c>
      <c r="I57" s="193">
        <f t="shared" si="9"/>
        <v>1.8373346398824108E-2</v>
      </c>
      <c r="J57" s="193">
        <f t="shared" si="9"/>
        <v>0</v>
      </c>
      <c r="K57" s="193">
        <f t="shared" si="9"/>
        <v>0</v>
      </c>
      <c r="L57" s="193">
        <f t="shared" si="9"/>
        <v>7.394614812129077E-4</v>
      </c>
      <c r="M57" s="193">
        <f t="shared" si="9"/>
        <v>0.19474240096565348</v>
      </c>
      <c r="N57" s="193">
        <f t="shared" si="9"/>
        <v>0</v>
      </c>
      <c r="O57" s="193">
        <f t="shared" si="9"/>
        <v>0</v>
      </c>
      <c r="P57" s="193">
        <f t="shared" si="9"/>
        <v>0</v>
      </c>
      <c r="Q57" s="193">
        <f t="shared" si="9"/>
        <v>5.117768893598576E-4</v>
      </c>
      <c r="R57" s="193">
        <f t="shared" si="9"/>
        <v>0</v>
      </c>
      <c r="S57" s="193">
        <f t="shared" si="9"/>
        <v>0</v>
      </c>
      <c r="T57" s="193">
        <f t="shared" si="9"/>
        <v>0</v>
      </c>
      <c r="U57" s="193">
        <f t="shared" si="9"/>
        <v>0</v>
      </c>
      <c r="V57" s="193">
        <f t="shared" si="9"/>
        <v>0</v>
      </c>
      <c r="W57" s="193">
        <f t="shared" si="9"/>
        <v>0</v>
      </c>
      <c r="X57" s="194">
        <f t="shared" si="9"/>
        <v>0</v>
      </c>
      <c r="Y57" s="104">
        <f>SUM(B57:X57)</f>
        <v>1.3930971292155598</v>
      </c>
      <c r="Z57" s="35"/>
      <c r="AE57"/>
      <c r="AF57"/>
      <c r="AG57"/>
      <c r="AH57"/>
    </row>
    <row r="58" spans="2:34" ht="12.9" thickBot="1" x14ac:dyDescent="0.35">
      <c r="B58" s="187">
        <f t="shared" ref="B58:X58" si="10">B57/$Y$57*100</f>
        <v>68.098133592748695</v>
      </c>
      <c r="C58" s="30">
        <f t="shared" si="10"/>
        <v>0</v>
      </c>
      <c r="D58" s="30">
        <f t="shared" si="10"/>
        <v>8.4699758559154894</v>
      </c>
      <c r="E58" s="30">
        <f t="shared" si="10"/>
        <v>3.4604668096324875</v>
      </c>
      <c r="F58" s="30">
        <f t="shared" si="10"/>
        <v>0</v>
      </c>
      <c r="G58" s="30">
        <f t="shared" si="10"/>
        <v>0</v>
      </c>
      <c r="H58" s="30">
        <f t="shared" si="10"/>
        <v>4.583624769225473</v>
      </c>
      <c r="I58" s="30">
        <f t="shared" si="10"/>
        <v>1.31888480806575</v>
      </c>
      <c r="J58" s="30">
        <f t="shared" si="10"/>
        <v>0</v>
      </c>
      <c r="K58" s="30">
        <f t="shared" si="10"/>
        <v>0</v>
      </c>
      <c r="L58" s="30">
        <f t="shared" si="10"/>
        <v>5.3080396600148884E-2</v>
      </c>
      <c r="M58" s="30">
        <f t="shared" si="10"/>
        <v>13.979097141296323</v>
      </c>
      <c r="N58" s="30">
        <f t="shared" si="10"/>
        <v>0</v>
      </c>
      <c r="O58" s="30">
        <f t="shared" si="10"/>
        <v>0</v>
      </c>
      <c r="P58" s="30">
        <f t="shared" si="10"/>
        <v>0</v>
      </c>
      <c r="Q58" s="30">
        <f t="shared" si="10"/>
        <v>3.6736626515628125E-2</v>
      </c>
      <c r="R58" s="30">
        <f t="shared" si="10"/>
        <v>0</v>
      </c>
      <c r="S58" s="30">
        <f t="shared" si="10"/>
        <v>0</v>
      </c>
      <c r="T58" s="30">
        <f t="shared" si="10"/>
        <v>0</v>
      </c>
      <c r="U58" s="30">
        <f t="shared" si="10"/>
        <v>0</v>
      </c>
      <c r="V58" s="30">
        <f t="shared" si="10"/>
        <v>0</v>
      </c>
      <c r="W58" s="30">
        <f t="shared" si="10"/>
        <v>0</v>
      </c>
      <c r="X58" s="188">
        <f t="shared" si="10"/>
        <v>0</v>
      </c>
      <c r="Y58" s="104">
        <f>SUM(G58:U58)</f>
        <v>19.971423741703322</v>
      </c>
      <c r="Z58" s="35"/>
      <c r="AE58"/>
      <c r="AF58"/>
      <c r="AG58"/>
      <c r="AH58"/>
    </row>
    <row r="59" spans="2:34" ht="12.9" thickBot="1" x14ac:dyDescent="0.35">
      <c r="B59" s="189">
        <f t="shared" ref="B59:X59" si="11">B58/$Y$58</f>
        <v>3.4097786153597851</v>
      </c>
      <c r="C59" s="190">
        <f t="shared" si="11"/>
        <v>0</v>
      </c>
      <c r="D59" s="190">
        <f t="shared" si="11"/>
        <v>0.42410475915289464</v>
      </c>
      <c r="E59" s="190">
        <f t="shared" si="11"/>
        <v>0.17327091219873897</v>
      </c>
      <c r="F59" s="190">
        <f t="shared" si="11"/>
        <v>0</v>
      </c>
      <c r="G59" s="190">
        <f t="shared" si="11"/>
        <v>0</v>
      </c>
      <c r="H59" s="190">
        <f t="shared" si="11"/>
        <v>0.22950916411903965</v>
      </c>
      <c r="I59" s="190">
        <f t="shared" si="11"/>
        <v>6.6038597203849872E-2</v>
      </c>
      <c r="J59" s="190">
        <f t="shared" si="11"/>
        <v>0</v>
      </c>
      <c r="K59" s="190">
        <f t="shared" si="11"/>
        <v>0</v>
      </c>
      <c r="L59" s="190">
        <f t="shared" si="11"/>
        <v>2.657817353767777E-3</v>
      </c>
      <c r="M59" s="190">
        <f t="shared" si="11"/>
        <v>0.69995496175397232</v>
      </c>
      <c r="N59" s="190">
        <f t="shared" si="11"/>
        <v>0</v>
      </c>
      <c r="O59" s="190">
        <f t="shared" si="11"/>
        <v>0</v>
      </c>
      <c r="P59" s="190">
        <f t="shared" si="11"/>
        <v>0</v>
      </c>
      <c r="Q59" s="190">
        <f t="shared" si="11"/>
        <v>1.8394595693704374E-3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F3AC6D45-F4BE-45FB-9ED8-0340942D330C}">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396F32C9-6C15-49FC-B2C7-D9AD7DAD1CD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C7A4A13-3E1E-4C39-A18C-282AB38DFE26}">
      <formula1>#REF!</formula1>
    </dataValidation>
    <dataValidation type="list" showInputMessage="1" showErrorMessage="1" sqref="B18:B33" xr:uid="{E2E81A0B-7824-45FF-8FE5-5E1E98E1B8FD}">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7E192A1-02EE-4B05-8765-30E18C033F2D}">
          <x14:formula1>
            <xm:f>'Chemical Analysis'!$AA$4:$AA$27</xm:f>
          </x14:formula1>
          <xm:sqref>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I65"/>
  <sheetViews>
    <sheetView showGridLines="0" showZeros="0" zoomScaleNormal="100" workbookViewId="0">
      <selection activeCell="W10" sqref="W10"/>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H1" s="33"/>
    </row>
    <row r="2" spans="1:33" ht="33" customHeight="1" thickBot="1" x14ac:dyDescent="0.45">
      <c r="A2" s="33"/>
      <c r="B2" s="36" t="str">
        <f>Date!B2</f>
        <v>010119</v>
      </c>
      <c r="C2" s="238">
        <v>-5</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5.3269856631097827</v>
      </c>
      <c r="C5" s="146" t="s">
        <v>13</v>
      </c>
      <c r="D5" s="253">
        <f>SUM(D7+E7+D9+E9+D11+E11)</f>
        <v>0.2955477613228894</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3.4097786153597851</v>
      </c>
      <c r="C7" s="103">
        <f>SUM(C9+B11+C11)</f>
        <v>0.64009532426059279</v>
      </c>
      <c r="D7" s="215">
        <f>H59</f>
        <v>0.22950916411903957</v>
      </c>
      <c r="E7" s="87">
        <f>I59</f>
        <v>6.6038597203849844E-2</v>
      </c>
      <c r="F7" s="89">
        <f>L59</f>
        <v>2.6578173537677766E-3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0.42410475915289447</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0.21599056510769832</v>
      </c>
      <c r="C11" s="71">
        <f>F59</f>
        <v>0</v>
      </c>
      <c r="D11" s="87">
        <f>K59</f>
        <v>0</v>
      </c>
      <c r="E11" s="204">
        <f>U59</f>
        <v>0</v>
      </c>
      <c r="F11" s="91">
        <f>P59</f>
        <v>0</v>
      </c>
      <c r="G11" s="91">
        <f>Q59</f>
        <v>1.839459569370437E-3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38.095238095238102</v>
      </c>
      <c r="D18" s="98" t="str">
        <f>B18</f>
        <v>Neph Sy</v>
      </c>
      <c r="E18" s="99">
        <f t="shared" ref="E18:E29" si="0">C18/$Y$56*100</f>
        <v>38.095238095238102</v>
      </c>
      <c r="F18" s="98" t="str">
        <f>B18</f>
        <v>Neph Sy</v>
      </c>
      <c r="G18" s="99">
        <f t="shared" ref="G18:G29" si="1">E18*$G$17/100</f>
        <v>38.095238095238102</v>
      </c>
      <c r="H18" s="33"/>
      <c r="AD18" s="35"/>
      <c r="AE18" s="52"/>
    </row>
    <row r="19" spans="1:31" x14ac:dyDescent="0.5">
      <c r="A19" s="33"/>
      <c r="B19" s="95" t="s">
        <v>51</v>
      </c>
      <c r="C19" s="96">
        <v>19.047619047619051</v>
      </c>
      <c r="D19" s="100" t="str">
        <f t="shared" ref="D19:D29" si="2">B19</f>
        <v>Whiting</v>
      </c>
      <c r="E19" s="101">
        <f t="shared" si="0"/>
        <v>19.047619047619051</v>
      </c>
      <c r="F19" s="100" t="str">
        <f>B19</f>
        <v>Whiting</v>
      </c>
      <c r="G19" s="101">
        <f t="shared" si="1"/>
        <v>19.047619047619051</v>
      </c>
      <c r="H19" s="33"/>
      <c r="AE19" s="52"/>
    </row>
    <row r="20" spans="1:31" ht="18.75" customHeight="1" x14ac:dyDescent="0.5">
      <c r="A20" s="33"/>
      <c r="B20" s="95" t="s">
        <v>26</v>
      </c>
      <c r="C20" s="96">
        <v>28.571428571428577</v>
      </c>
      <c r="D20" s="100" t="str">
        <f t="shared" si="2"/>
        <v xml:space="preserve">Flint </v>
      </c>
      <c r="E20" s="101">
        <f t="shared" si="0"/>
        <v>28.571428571428577</v>
      </c>
      <c r="F20" s="100" t="str">
        <f t="shared" ref="F20:F29" si="3">B20</f>
        <v xml:space="preserve">Flint </v>
      </c>
      <c r="G20" s="101">
        <f t="shared" si="1"/>
        <v>28.571428571428577</v>
      </c>
      <c r="H20" s="33"/>
      <c r="AE20" s="52"/>
    </row>
    <row r="21" spans="1:31" x14ac:dyDescent="0.5">
      <c r="A21" s="33"/>
      <c r="B21" s="95" t="s">
        <v>22</v>
      </c>
      <c r="C21" s="96">
        <v>9.5238095238095255</v>
      </c>
      <c r="D21" s="100" t="str">
        <f>B21</f>
        <v>EPK</v>
      </c>
      <c r="E21" s="101">
        <f t="shared" si="0"/>
        <v>9.5238095238095255</v>
      </c>
      <c r="F21" s="100" t="str">
        <f t="shared" si="3"/>
        <v>EPK</v>
      </c>
      <c r="G21" s="101">
        <f t="shared" si="1"/>
        <v>9.5238095238095255</v>
      </c>
      <c r="H21" s="33"/>
      <c r="AE21" s="52"/>
    </row>
    <row r="22" spans="1:31" ht="20.25" customHeight="1" x14ac:dyDescent="0.5">
      <c r="A22" s="33"/>
      <c r="B22" s="95" t="s">
        <v>87</v>
      </c>
      <c r="C22" s="96">
        <v>4.7619047619047628</v>
      </c>
      <c r="D22" s="100" t="str">
        <f t="shared" si="2"/>
        <v>Titanium Dioxide</v>
      </c>
      <c r="E22" s="101">
        <f t="shared" si="0"/>
        <v>4.7619047619047628</v>
      </c>
      <c r="F22" s="100" t="str">
        <f t="shared" si="3"/>
        <v>Titanium Dioxide</v>
      </c>
      <c r="G22" s="101">
        <f t="shared" si="1"/>
        <v>4.7619047619047628</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23.600000000000005</v>
      </c>
      <c r="C38" s="29">
        <f>IF(ISNA(VLOOKUP($B18,'Chemical Analysis'!$B$4:$Y$119,3,0)),"",(VLOOKUP($B18,'Chemical Analysis'!$B$4:$Y$119,3,0))*$E18/100)</f>
        <v>0</v>
      </c>
      <c r="D38" s="29">
        <f>IF(ISNA(VLOOKUP($B18,'Chemical Analysis'!$B$4:$Y$119,4,0)),"",(VLOOKUP($B18,'Chemical Analysis'!$B$4:$Y$119,4,0))*$E18/100)</f>
        <v>8.4190476190476211</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3.9200000000000004</v>
      </c>
      <c r="I38" s="29">
        <f>IF(ISNA(VLOOKUP($B18,'Chemical Analysis'!$B$4:$Y$119,9,0)),"",(VLOOKUP($B18,'Chemical Analysis'!$B$4:$Y$119,9,0))*$E18/100)</f>
        <v>1.6761904761904765</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1.142857142857143E-2</v>
      </c>
      <c r="M38" s="29">
        <f>IF(ISNA(VLOOKUP($B18,'Chemical Analysis'!$B$4:$Y$119,13,0)),"",(VLOOKUP($B18,'Chemical Analysis'!$B$4:$Y$119,13,0))*$E18/100)</f>
        <v>0.13714285714285718</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1.5238095238095242E-2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1.9047619047619052E-3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10.672380952380955</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28.15428571428572</v>
      </c>
      <c r="C40" s="29">
        <f>IF(ISNA(VLOOKUP($B20,'Chemical Analysis'!$B$4:$Y$119,3,0)),"",(VLOOKUP($B20,'Chemical Analysis'!$B$4:$Y$119,3,0))*$E20/100)</f>
        <v>0</v>
      </c>
      <c r="D40" s="29">
        <f>IF(ISNA(VLOOKUP($B20,'Chemical Analysis'!$B$4:$Y$119,4,0)),"",(VLOOKUP($B20,'Chemical Analysis'!$B$4:$Y$119,4,0))*$E20/100)</f>
        <v>0.12000000000000002</v>
      </c>
      <c r="E40" s="29">
        <f>IF(ISNA(VLOOKUP($B20,'Chemical Analysis'!$B$4:$Y$119,5,0)),"",(VLOOKUP($B20,'Chemical Analysis'!$B$4:$Y$119,5,0))*$E20/100)</f>
        <v>1.7142857142857147E-2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2.8571428571428576E-3</v>
      </c>
      <c r="M40" s="29">
        <f>IF(ISNA(VLOOKUP($B20,'Chemical Analysis'!$B$4:$Y$119,13,0)),"",(VLOOKUP($B20,'Chemical Analysis'!$B$4:$Y$119,13,0))*$E20/100)</f>
        <v>2.8571428571428576E-3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1.7142857142857147E-2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4.7085714285714291</v>
      </c>
      <c r="C41" s="29">
        <f>IF(ISNA(VLOOKUP($B21,'Chemical Analysis'!$B$4:$Y$119,3,0)),"",(VLOOKUP($B21,'Chemical Analysis'!$B$4:$Y$119,3,0))*$E21/100)</f>
        <v>0</v>
      </c>
      <c r="D41" s="29">
        <f>IF(ISNA(VLOOKUP($B21,'Chemical Analysis'!$B$4:$Y$119,4,0)),"",(VLOOKUP($B21,'Chemical Analysis'!$B$4:$Y$119,4,0))*$E21/100)</f>
        <v>3.3771428571428577</v>
      </c>
      <c r="E41" s="29">
        <f>IF(ISNA(VLOOKUP($B21,'Chemical Analysis'!$B$4:$Y$119,5,0)),"",(VLOOKUP($B21,'Chemical Analysis'!$B$4:$Y$119,5,0))*$E21/100)</f>
        <v>3.4285714285714294E-2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3.8095238095238099E-2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1.5238095238095242E-2</v>
      </c>
      <c r="M41" s="29">
        <f>IF(ISNA(VLOOKUP($B21,'Chemical Analysis'!$B$4:$Y$119,13,0)),"",(VLOOKUP($B21,'Chemical Analysis'!$B$4:$Y$119,13,0))*$E21/100)</f>
        <v>4.7619047619047623E-3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4.8571428571428578E-2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4.7619047619047628</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56.46285714285716</v>
      </c>
      <c r="C54" s="55">
        <f t="shared" ref="C54:W54" si="8">SUM(C38:C53)</f>
        <v>0</v>
      </c>
      <c r="D54" s="55">
        <f t="shared" si="8"/>
        <v>11.916190476190478</v>
      </c>
      <c r="E54" s="55">
        <f t="shared" si="8"/>
        <v>4.8152380952380964</v>
      </c>
      <c r="F54" s="55">
        <f t="shared" si="8"/>
        <v>0</v>
      </c>
      <c r="G54" s="55">
        <f t="shared" si="8"/>
        <v>0</v>
      </c>
      <c r="H54" s="55">
        <f t="shared" si="8"/>
        <v>3.9200000000000004</v>
      </c>
      <c r="I54" s="55">
        <f t="shared" si="8"/>
        <v>1.7142857142857146</v>
      </c>
      <c r="J54" s="55">
        <f t="shared" si="8"/>
        <v>0</v>
      </c>
      <c r="K54" s="55">
        <f t="shared" si="8"/>
        <v>0</v>
      </c>
      <c r="L54" s="55">
        <f t="shared" si="8"/>
        <v>2.9523809523809529E-2</v>
      </c>
      <c r="M54" s="55">
        <f t="shared" si="8"/>
        <v>10.81714285714286</v>
      </c>
      <c r="N54" s="55">
        <f t="shared" si="8"/>
        <v>0</v>
      </c>
      <c r="O54" s="55">
        <f t="shared" si="8"/>
        <v>0</v>
      </c>
      <c r="P54" s="55">
        <f t="shared" si="8"/>
        <v>0</v>
      </c>
      <c r="Q54" s="55">
        <f t="shared" si="8"/>
        <v>8.095238095238097E-2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100</v>
      </c>
      <c r="Z56" s="35"/>
      <c r="AE56"/>
      <c r="AF56"/>
      <c r="AG56"/>
      <c r="AH56"/>
    </row>
    <row r="57" spans="2:34" ht="12.9" thickBot="1" x14ac:dyDescent="0.35">
      <c r="B57" s="192">
        <f t="shared" ref="B57:X57" si="9">B$54/B$56</f>
        <v>0.93963816180491189</v>
      </c>
      <c r="C57" s="193">
        <f t="shared" si="9"/>
        <v>0</v>
      </c>
      <c r="D57" s="193">
        <f t="shared" si="9"/>
        <v>0.11687122867978107</v>
      </c>
      <c r="E57" s="193">
        <f t="shared" si="9"/>
        <v>5.9520866442992537E-2</v>
      </c>
      <c r="F57" s="193">
        <f t="shared" si="9"/>
        <v>0</v>
      </c>
      <c r="G57" s="193">
        <f t="shared" si="9"/>
        <v>0</v>
      </c>
      <c r="H57" s="193">
        <f t="shared" si="9"/>
        <v>6.3246208454340119E-2</v>
      </c>
      <c r="I57" s="193">
        <f t="shared" si="9"/>
        <v>1.8198362147406735E-2</v>
      </c>
      <c r="J57" s="193">
        <f t="shared" si="9"/>
        <v>0</v>
      </c>
      <c r="K57" s="193">
        <f t="shared" si="9"/>
        <v>0</v>
      </c>
      <c r="L57" s="193">
        <f t="shared" si="9"/>
        <v>7.3241899091564195E-4</v>
      </c>
      <c r="M57" s="193">
        <f t="shared" si="9"/>
        <v>0.1928877114326473</v>
      </c>
      <c r="N57" s="193">
        <f t="shared" si="9"/>
        <v>0</v>
      </c>
      <c r="O57" s="193">
        <f t="shared" si="9"/>
        <v>0</v>
      </c>
      <c r="P57" s="193">
        <f t="shared" si="9"/>
        <v>0</v>
      </c>
      <c r="Q57" s="193">
        <f t="shared" si="9"/>
        <v>5.0690282374690656E-4</v>
      </c>
      <c r="R57" s="193">
        <f t="shared" si="9"/>
        <v>0</v>
      </c>
      <c r="S57" s="193">
        <f t="shared" si="9"/>
        <v>0</v>
      </c>
      <c r="T57" s="193">
        <f t="shared" si="9"/>
        <v>0</v>
      </c>
      <c r="U57" s="193">
        <f t="shared" si="9"/>
        <v>0</v>
      </c>
      <c r="V57" s="193">
        <f t="shared" si="9"/>
        <v>0</v>
      </c>
      <c r="W57" s="193">
        <f t="shared" si="9"/>
        <v>0</v>
      </c>
      <c r="X57" s="194">
        <f t="shared" si="9"/>
        <v>0</v>
      </c>
      <c r="Y57" s="104">
        <f>SUM(B57:X57)</f>
        <v>1.3916018607767422</v>
      </c>
      <c r="Z57" s="35"/>
      <c r="AE57"/>
      <c r="AF57"/>
      <c r="AG57"/>
      <c r="AH57"/>
    </row>
    <row r="58" spans="2:34" ht="12.9" thickBot="1" x14ac:dyDescent="0.35">
      <c r="B58" s="187">
        <f t="shared" ref="B58:X58" si="10">B57/$Y$57*100</f>
        <v>67.522054136981367</v>
      </c>
      <c r="C58" s="30">
        <f t="shared" si="10"/>
        <v>0</v>
      </c>
      <c r="D58" s="30">
        <f t="shared" si="10"/>
        <v>8.3983236853784984</v>
      </c>
      <c r="E58" s="30">
        <f t="shared" si="10"/>
        <v>4.2771476613124193</v>
      </c>
      <c r="F58" s="30">
        <f t="shared" si="10"/>
        <v>0</v>
      </c>
      <c r="G58" s="30">
        <f t="shared" si="10"/>
        <v>0</v>
      </c>
      <c r="H58" s="30">
        <f t="shared" si="10"/>
        <v>4.5448493737309574</v>
      </c>
      <c r="I58" s="30">
        <f t="shared" si="10"/>
        <v>1.3077276382232677</v>
      </c>
      <c r="J58" s="30">
        <f t="shared" si="10"/>
        <v>0</v>
      </c>
      <c r="K58" s="30">
        <f t="shared" si="10"/>
        <v>0</v>
      </c>
      <c r="L58" s="30">
        <f t="shared" si="10"/>
        <v>5.2631360417039974E-2</v>
      </c>
      <c r="M58" s="30">
        <f t="shared" si="10"/>
        <v>13.860840292710181</v>
      </c>
      <c r="N58" s="30">
        <f t="shared" si="10"/>
        <v>0</v>
      </c>
      <c r="O58" s="30">
        <f t="shared" si="10"/>
        <v>0</v>
      </c>
      <c r="P58" s="30">
        <f t="shared" si="10"/>
        <v>0</v>
      </c>
      <c r="Q58" s="30">
        <f t="shared" si="10"/>
        <v>3.642585124627324E-2</v>
      </c>
      <c r="R58" s="30">
        <f t="shared" si="10"/>
        <v>0</v>
      </c>
      <c r="S58" s="30">
        <f t="shared" si="10"/>
        <v>0</v>
      </c>
      <c r="T58" s="30">
        <f t="shared" si="10"/>
        <v>0</v>
      </c>
      <c r="U58" s="30">
        <f t="shared" si="10"/>
        <v>0</v>
      </c>
      <c r="V58" s="30">
        <f t="shared" si="10"/>
        <v>0</v>
      </c>
      <c r="W58" s="30">
        <f t="shared" si="10"/>
        <v>0</v>
      </c>
      <c r="X58" s="188">
        <f t="shared" si="10"/>
        <v>0</v>
      </c>
      <c r="Y58" s="104">
        <f>SUM(G58:U58)</f>
        <v>19.80247451632772</v>
      </c>
      <c r="Z58" s="35"/>
      <c r="AE58"/>
      <c r="AF58"/>
      <c r="AG58"/>
      <c r="AH58"/>
    </row>
    <row r="59" spans="2:34" ht="12.9" thickBot="1" x14ac:dyDescent="0.35">
      <c r="B59" s="189">
        <f t="shared" ref="B59:X59" si="11">B58/$Y$58</f>
        <v>3.4097786153597851</v>
      </c>
      <c r="C59" s="190">
        <f t="shared" si="11"/>
        <v>0</v>
      </c>
      <c r="D59" s="190">
        <f t="shared" si="11"/>
        <v>0.42410475915289447</v>
      </c>
      <c r="E59" s="190">
        <f t="shared" si="11"/>
        <v>0.21599056510769832</v>
      </c>
      <c r="F59" s="190">
        <f t="shared" si="11"/>
        <v>0</v>
      </c>
      <c r="G59" s="190">
        <f t="shared" si="11"/>
        <v>0</v>
      </c>
      <c r="H59" s="190">
        <f t="shared" si="11"/>
        <v>0.22950916411903957</v>
      </c>
      <c r="I59" s="190">
        <f t="shared" si="11"/>
        <v>6.6038597203849844E-2</v>
      </c>
      <c r="J59" s="190">
        <f t="shared" si="11"/>
        <v>0</v>
      </c>
      <c r="K59" s="190">
        <f t="shared" si="11"/>
        <v>0</v>
      </c>
      <c r="L59" s="190">
        <f t="shared" si="11"/>
        <v>2.6578173537677766E-3</v>
      </c>
      <c r="M59" s="190">
        <f t="shared" si="11"/>
        <v>0.69995496175397232</v>
      </c>
      <c r="N59" s="190">
        <f t="shared" si="11"/>
        <v>0</v>
      </c>
      <c r="O59" s="190">
        <f t="shared" si="11"/>
        <v>0</v>
      </c>
      <c r="P59" s="190">
        <f t="shared" si="11"/>
        <v>0</v>
      </c>
      <c r="Q59" s="190">
        <f t="shared" si="11"/>
        <v>1.839459569370437E-3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0382CA8-1C54-4846-A38E-D5795AEB98A2}">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21B34D30-547E-4C57-AD2F-7AC0D2AF96A7}">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E774A2E-81CB-43C1-A274-3EE3BB691D74}">
      <formula1>#REF!</formula1>
    </dataValidation>
    <dataValidation type="list" showInputMessage="1" showErrorMessage="1" sqref="B18:B33" xr:uid="{4B105247-3721-4C78-9EC7-94947C04B9ED}">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941987-00B4-4442-A9E7-8E6837878699}">
          <x14:formula1>
            <xm:f>'Chemical Analysis'!$AA$4:$AA$27</xm:f>
          </x14:formula1>
          <xm:sqref>G3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65"/>
  <sheetViews>
    <sheetView showGridLines="0" showZeros="0" zoomScaleNormal="100" workbookViewId="0">
      <selection activeCell="X16" sqref="X16"/>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B1" s="33"/>
      <c r="C1" s="34"/>
      <c r="D1" s="34"/>
      <c r="E1" s="34"/>
      <c r="F1" s="34"/>
      <c r="G1" s="33"/>
      <c r="H1" s="33"/>
    </row>
    <row r="2" spans="1:33" ht="33" customHeight="1" thickBot="1" x14ac:dyDescent="0.45">
      <c r="A2" s="33"/>
      <c r="B2" s="36" t="str">
        <f>Date!B2</f>
        <v>010119</v>
      </c>
      <c r="C2" s="238">
        <v>-6</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4.9937080019747286</v>
      </c>
      <c r="C5" s="146" t="s">
        <v>13</v>
      </c>
      <c r="D5" s="253">
        <f>SUM(D7+E7+D9+E9+D11+E11)</f>
        <v>0.2955477613228894</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3.4097786153597847</v>
      </c>
      <c r="C7" s="103">
        <f>SUM(C9+B11+C11)</f>
        <v>0.6828149771695522</v>
      </c>
      <c r="D7" s="215">
        <f>H59</f>
        <v>0.22950916411903957</v>
      </c>
      <c r="E7" s="87">
        <f>I59</f>
        <v>6.6038597203849858E-2</v>
      </c>
      <c r="F7" s="89">
        <f>L59</f>
        <v>2.6578173537677762E-3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0.42410475915289453</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0.25871021801665767</v>
      </c>
      <c r="C11" s="71">
        <f>F59</f>
        <v>0</v>
      </c>
      <c r="D11" s="87">
        <f>K59</f>
        <v>0</v>
      </c>
      <c r="E11" s="204">
        <f>U59</f>
        <v>0</v>
      </c>
      <c r="F11" s="91">
        <f>P59</f>
        <v>0</v>
      </c>
      <c r="G11" s="91">
        <f>Q59</f>
        <v>1.8394595693704374E-3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37.735849056603769</v>
      </c>
      <c r="D18" s="98" t="str">
        <f>B18</f>
        <v>Neph Sy</v>
      </c>
      <c r="E18" s="99">
        <f t="shared" ref="E18:E29" si="0">C18/$Y$56*100</f>
        <v>37.735849056603783</v>
      </c>
      <c r="F18" s="98" t="str">
        <f>B18</f>
        <v>Neph Sy</v>
      </c>
      <c r="G18" s="99">
        <f t="shared" ref="G18:G29" si="1">E18*$G$17/100</f>
        <v>37.735849056603783</v>
      </c>
      <c r="H18" s="33"/>
      <c r="AD18" s="35"/>
      <c r="AE18" s="52"/>
    </row>
    <row r="19" spans="1:31" x14ac:dyDescent="0.5">
      <c r="A19" s="33"/>
      <c r="B19" s="95" t="s">
        <v>51</v>
      </c>
      <c r="C19" s="96">
        <v>18.867924528301884</v>
      </c>
      <c r="D19" s="100" t="str">
        <f t="shared" ref="D19:D29" si="2">B19</f>
        <v>Whiting</v>
      </c>
      <c r="E19" s="101">
        <f t="shared" si="0"/>
        <v>18.867924528301891</v>
      </c>
      <c r="F19" s="100" t="str">
        <f>B19</f>
        <v>Whiting</v>
      </c>
      <c r="G19" s="101">
        <f t="shared" si="1"/>
        <v>18.867924528301891</v>
      </c>
      <c r="H19" s="33"/>
      <c r="AE19" s="52"/>
    </row>
    <row r="20" spans="1:31" ht="18.75" customHeight="1" x14ac:dyDescent="0.5">
      <c r="A20" s="33"/>
      <c r="B20" s="95" t="s">
        <v>26</v>
      </c>
      <c r="C20" s="96">
        <v>28.301886792452823</v>
      </c>
      <c r="D20" s="100" t="str">
        <f t="shared" si="2"/>
        <v xml:space="preserve">Flint </v>
      </c>
      <c r="E20" s="101">
        <f t="shared" si="0"/>
        <v>28.30188679245283</v>
      </c>
      <c r="F20" s="100" t="str">
        <f t="shared" ref="F20:F29" si="3">B20</f>
        <v xml:space="preserve">Flint </v>
      </c>
      <c r="G20" s="101">
        <f t="shared" si="1"/>
        <v>28.30188679245283</v>
      </c>
      <c r="H20" s="33"/>
      <c r="AE20" s="52"/>
    </row>
    <row r="21" spans="1:31" x14ac:dyDescent="0.5">
      <c r="A21" s="33"/>
      <c r="B21" s="95" t="s">
        <v>22</v>
      </c>
      <c r="C21" s="96">
        <v>9.4339622641509422</v>
      </c>
      <c r="D21" s="100" t="str">
        <f>B21</f>
        <v>EPK</v>
      </c>
      <c r="E21" s="101">
        <f t="shared" si="0"/>
        <v>9.4339622641509457</v>
      </c>
      <c r="F21" s="100" t="str">
        <f t="shared" si="3"/>
        <v>EPK</v>
      </c>
      <c r="G21" s="101">
        <f t="shared" si="1"/>
        <v>9.4339622641509457</v>
      </c>
      <c r="H21" s="33"/>
      <c r="AE21" s="52"/>
    </row>
    <row r="22" spans="1:31" ht="20.25" customHeight="1" x14ac:dyDescent="0.5">
      <c r="A22" s="33"/>
      <c r="B22" s="95" t="s">
        <v>87</v>
      </c>
      <c r="C22" s="96">
        <v>5.6603773584905657</v>
      </c>
      <c r="D22" s="100" t="str">
        <f t="shared" si="2"/>
        <v>Titanium Dioxide</v>
      </c>
      <c r="E22" s="101">
        <f t="shared" si="0"/>
        <v>5.6603773584905674</v>
      </c>
      <c r="F22" s="100" t="str">
        <f t="shared" si="3"/>
        <v>Titanium Dioxide</v>
      </c>
      <c r="G22" s="101">
        <f t="shared" si="1"/>
        <v>5.6603773584905674</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23.377358490566042</v>
      </c>
      <c r="C38" s="29">
        <f>IF(ISNA(VLOOKUP($B18,'Chemical Analysis'!$B$4:$Y$119,3,0)),"",(VLOOKUP($B18,'Chemical Analysis'!$B$4:$Y$119,3,0))*$E18/100)</f>
        <v>0</v>
      </c>
      <c r="D38" s="29">
        <f>IF(ISNA(VLOOKUP($B18,'Chemical Analysis'!$B$4:$Y$119,4,0)),"",(VLOOKUP($B18,'Chemical Analysis'!$B$4:$Y$119,4,0))*$E18/100)</f>
        <v>8.3396226415094361</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3.8830188679245285</v>
      </c>
      <c r="I38" s="29">
        <f>IF(ISNA(VLOOKUP($B18,'Chemical Analysis'!$B$4:$Y$119,9,0)),"",(VLOOKUP($B18,'Chemical Analysis'!$B$4:$Y$119,9,0))*$E18/100)</f>
        <v>1.6603773584905666</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1.1320754716981135E-2</v>
      </c>
      <c r="M38" s="29">
        <f>IF(ISNA(VLOOKUP($B18,'Chemical Analysis'!$B$4:$Y$119,13,0)),"",(VLOOKUP($B18,'Chemical Analysis'!$B$4:$Y$119,13,0))*$E18/100)</f>
        <v>0.13584905660377361</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1.5094339622641513E-2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1.8867924528301891E-3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10.57169811320755</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27.888679245283019</v>
      </c>
      <c r="C40" s="29">
        <f>IF(ISNA(VLOOKUP($B20,'Chemical Analysis'!$B$4:$Y$119,3,0)),"",(VLOOKUP($B20,'Chemical Analysis'!$B$4:$Y$119,3,0))*$E20/100)</f>
        <v>0</v>
      </c>
      <c r="D40" s="29">
        <f>IF(ISNA(VLOOKUP($B20,'Chemical Analysis'!$B$4:$Y$119,4,0)),"",(VLOOKUP($B20,'Chemical Analysis'!$B$4:$Y$119,4,0))*$E20/100)</f>
        <v>0.11886792452830187</v>
      </c>
      <c r="E40" s="29">
        <f>IF(ISNA(VLOOKUP($B20,'Chemical Analysis'!$B$4:$Y$119,5,0)),"",(VLOOKUP($B20,'Chemical Analysis'!$B$4:$Y$119,5,0))*$E20/100)</f>
        <v>1.6981132075471698E-2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2.8301886792452828E-3</v>
      </c>
      <c r="M40" s="29">
        <f>IF(ISNA(VLOOKUP($B20,'Chemical Analysis'!$B$4:$Y$119,13,0)),"",(VLOOKUP($B20,'Chemical Analysis'!$B$4:$Y$119,13,0))*$E20/100)</f>
        <v>2.8301886792452828E-3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1.6981132075471698E-2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4.6641509433962272</v>
      </c>
      <c r="C41" s="29">
        <f>IF(ISNA(VLOOKUP($B21,'Chemical Analysis'!$B$4:$Y$119,3,0)),"",(VLOOKUP($B21,'Chemical Analysis'!$B$4:$Y$119,3,0))*$E21/100)</f>
        <v>0</v>
      </c>
      <c r="D41" s="29">
        <f>IF(ISNA(VLOOKUP($B21,'Chemical Analysis'!$B$4:$Y$119,4,0)),"",(VLOOKUP($B21,'Chemical Analysis'!$B$4:$Y$119,4,0))*$E21/100)</f>
        <v>3.3452830188679252</v>
      </c>
      <c r="E41" s="29">
        <f>IF(ISNA(VLOOKUP($B21,'Chemical Analysis'!$B$4:$Y$119,5,0)),"",(VLOOKUP($B21,'Chemical Analysis'!$B$4:$Y$119,5,0))*$E21/100)</f>
        <v>3.3962264150943403E-2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3.7735849056603786E-2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1.5094339622641513E-2</v>
      </c>
      <c r="M41" s="29">
        <f>IF(ISNA(VLOOKUP($B21,'Chemical Analysis'!$B$4:$Y$119,13,0)),"",(VLOOKUP($B21,'Chemical Analysis'!$B$4:$Y$119,13,0))*$E21/100)</f>
        <v>4.7169811320754733E-3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4.8113207547169828E-2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5.6603773584905674</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55.93018867924529</v>
      </c>
      <c r="C54" s="55">
        <f t="shared" ref="C54:W54" si="8">SUM(C38:C53)</f>
        <v>0</v>
      </c>
      <c r="D54" s="55">
        <f t="shared" si="8"/>
        <v>11.803773584905663</v>
      </c>
      <c r="E54" s="55">
        <f t="shared" si="8"/>
        <v>5.7132075471698132</v>
      </c>
      <c r="F54" s="55">
        <f t="shared" si="8"/>
        <v>0</v>
      </c>
      <c r="G54" s="55">
        <f t="shared" si="8"/>
        <v>0</v>
      </c>
      <c r="H54" s="55">
        <f t="shared" si="8"/>
        <v>3.8830188679245285</v>
      </c>
      <c r="I54" s="55">
        <f t="shared" si="8"/>
        <v>1.6981132075471703</v>
      </c>
      <c r="J54" s="55">
        <f t="shared" si="8"/>
        <v>0</v>
      </c>
      <c r="K54" s="55">
        <f t="shared" si="8"/>
        <v>0</v>
      </c>
      <c r="L54" s="55">
        <f t="shared" si="8"/>
        <v>2.9245283018867932E-2</v>
      </c>
      <c r="M54" s="55">
        <f t="shared" si="8"/>
        <v>10.715094339622645</v>
      </c>
      <c r="N54" s="55">
        <f t="shared" si="8"/>
        <v>0</v>
      </c>
      <c r="O54" s="55">
        <f t="shared" si="8"/>
        <v>0</v>
      </c>
      <c r="P54" s="55">
        <f t="shared" si="8"/>
        <v>0</v>
      </c>
      <c r="Q54" s="55">
        <f t="shared" si="8"/>
        <v>8.0188679245283043E-2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99.999999999999972</v>
      </c>
      <c r="Z56" s="35"/>
      <c r="AE56"/>
      <c r="AF56"/>
      <c r="AG56"/>
      <c r="AH56"/>
    </row>
    <row r="57" spans="2:34" ht="12.9" thickBot="1" x14ac:dyDescent="0.35">
      <c r="B57" s="192">
        <f t="shared" ref="B57:X57" si="9">B$54/B$56</f>
        <v>0.93077365084448804</v>
      </c>
      <c r="C57" s="193">
        <f t="shared" si="9"/>
        <v>0</v>
      </c>
      <c r="D57" s="193">
        <f t="shared" si="9"/>
        <v>0.11576866991865108</v>
      </c>
      <c r="E57" s="193">
        <f t="shared" si="9"/>
        <v>7.0620612449565051E-2</v>
      </c>
      <c r="F57" s="193">
        <f t="shared" si="9"/>
        <v>0</v>
      </c>
      <c r="G57" s="193">
        <f t="shared" si="9"/>
        <v>0</v>
      </c>
      <c r="H57" s="193">
        <f t="shared" si="9"/>
        <v>6.2649546110431248E-2</v>
      </c>
      <c r="I57" s="193">
        <f t="shared" si="9"/>
        <v>1.8026679485638752E-2</v>
      </c>
      <c r="J57" s="193">
        <f t="shared" si="9"/>
        <v>0</v>
      </c>
      <c r="K57" s="193">
        <f t="shared" si="9"/>
        <v>0</v>
      </c>
      <c r="L57" s="193">
        <f t="shared" si="9"/>
        <v>7.255093777937963E-4</v>
      </c>
      <c r="M57" s="193">
        <f t="shared" si="9"/>
        <v>0.19106801604177329</v>
      </c>
      <c r="N57" s="193">
        <f t="shared" si="9"/>
        <v>0</v>
      </c>
      <c r="O57" s="193">
        <f t="shared" si="9"/>
        <v>0</v>
      </c>
      <c r="P57" s="193">
        <f t="shared" si="9"/>
        <v>0</v>
      </c>
      <c r="Q57" s="193">
        <f t="shared" si="9"/>
        <v>5.0212072163608671E-4</v>
      </c>
      <c r="R57" s="193">
        <f t="shared" si="9"/>
        <v>0</v>
      </c>
      <c r="S57" s="193">
        <f t="shared" si="9"/>
        <v>0</v>
      </c>
      <c r="T57" s="193">
        <f t="shared" si="9"/>
        <v>0</v>
      </c>
      <c r="U57" s="193">
        <f t="shared" si="9"/>
        <v>0</v>
      </c>
      <c r="V57" s="193">
        <f t="shared" si="9"/>
        <v>0</v>
      </c>
      <c r="W57" s="193">
        <f t="shared" si="9"/>
        <v>0</v>
      </c>
      <c r="X57" s="194">
        <f t="shared" si="9"/>
        <v>0</v>
      </c>
      <c r="Y57" s="104">
        <f>SUM(B57:X57)</f>
        <v>1.3901348049499771</v>
      </c>
      <c r="Z57" s="35"/>
      <c r="AE57"/>
      <c r="AF57"/>
      <c r="AG57"/>
      <c r="AH57"/>
    </row>
    <row r="58" spans="2:34" ht="12.9" thickBot="1" x14ac:dyDescent="0.35">
      <c r="B58" s="187">
        <f t="shared" ref="B58:X58" si="10">B57/$Y$57*100</f>
        <v>66.955639663880021</v>
      </c>
      <c r="C58" s="30">
        <f t="shared" si="10"/>
        <v>0</v>
      </c>
      <c r="D58" s="30">
        <f t="shared" si="10"/>
        <v>8.3278736354505494</v>
      </c>
      <c r="E58" s="30">
        <f t="shared" si="10"/>
        <v>5.0801269199289116</v>
      </c>
      <c r="F58" s="30">
        <f t="shared" si="10"/>
        <v>0</v>
      </c>
      <c r="G58" s="30">
        <f t="shared" si="10"/>
        <v>0</v>
      </c>
      <c r="H58" s="30">
        <f t="shared" si="10"/>
        <v>4.5067245196184871</v>
      </c>
      <c r="I58" s="30">
        <f t="shared" si="10"/>
        <v>1.2967576541102017</v>
      </c>
      <c r="J58" s="30">
        <f t="shared" si="10"/>
        <v>0</v>
      </c>
      <c r="K58" s="30">
        <f t="shared" si="10"/>
        <v>0</v>
      </c>
      <c r="L58" s="30">
        <f t="shared" si="10"/>
        <v>5.2189857790079799E-2</v>
      </c>
      <c r="M58" s="30">
        <f t="shared" si="10"/>
        <v>13.744567459315482</v>
      </c>
      <c r="N58" s="30">
        <f t="shared" si="10"/>
        <v>0</v>
      </c>
      <c r="O58" s="30">
        <f t="shared" si="10"/>
        <v>0</v>
      </c>
      <c r="P58" s="30">
        <f t="shared" si="10"/>
        <v>0</v>
      </c>
      <c r="Q58" s="30">
        <f t="shared" si="10"/>
        <v>3.6120289906283957E-2</v>
      </c>
      <c r="R58" s="30">
        <f t="shared" si="10"/>
        <v>0</v>
      </c>
      <c r="S58" s="30">
        <f t="shared" si="10"/>
        <v>0</v>
      </c>
      <c r="T58" s="30">
        <f t="shared" si="10"/>
        <v>0</v>
      </c>
      <c r="U58" s="30">
        <f t="shared" si="10"/>
        <v>0</v>
      </c>
      <c r="V58" s="30">
        <f t="shared" si="10"/>
        <v>0</v>
      </c>
      <c r="W58" s="30">
        <f t="shared" si="10"/>
        <v>0</v>
      </c>
      <c r="X58" s="188">
        <f t="shared" si="10"/>
        <v>0</v>
      </c>
      <c r="Y58" s="104">
        <f>SUM(G58:U58)</f>
        <v>19.636359780740534</v>
      </c>
      <c r="Z58" s="35"/>
      <c r="AE58"/>
      <c r="AF58"/>
      <c r="AG58"/>
      <c r="AH58"/>
    </row>
    <row r="59" spans="2:34" ht="12.9" thickBot="1" x14ac:dyDescent="0.35">
      <c r="B59" s="189">
        <f t="shared" ref="B59:X59" si="11">B58/$Y$58</f>
        <v>3.4097786153597847</v>
      </c>
      <c r="C59" s="190">
        <f t="shared" si="11"/>
        <v>0</v>
      </c>
      <c r="D59" s="190">
        <f t="shared" si="11"/>
        <v>0.42410475915289453</v>
      </c>
      <c r="E59" s="190">
        <f t="shared" si="11"/>
        <v>0.25871021801665767</v>
      </c>
      <c r="F59" s="190">
        <f t="shared" si="11"/>
        <v>0</v>
      </c>
      <c r="G59" s="190">
        <f t="shared" si="11"/>
        <v>0</v>
      </c>
      <c r="H59" s="190">
        <f t="shared" si="11"/>
        <v>0.22950916411903957</v>
      </c>
      <c r="I59" s="190">
        <f t="shared" si="11"/>
        <v>6.6038597203849858E-2</v>
      </c>
      <c r="J59" s="190">
        <f t="shared" si="11"/>
        <v>0</v>
      </c>
      <c r="K59" s="190">
        <f t="shared" si="11"/>
        <v>0</v>
      </c>
      <c r="L59" s="190">
        <f t="shared" si="11"/>
        <v>2.6578173537677762E-3</v>
      </c>
      <c r="M59" s="190">
        <f t="shared" si="11"/>
        <v>0.69995496175397232</v>
      </c>
      <c r="N59" s="190">
        <f t="shared" si="11"/>
        <v>0</v>
      </c>
      <c r="O59" s="190">
        <f t="shared" si="11"/>
        <v>0</v>
      </c>
      <c r="P59" s="190">
        <f t="shared" si="11"/>
        <v>0</v>
      </c>
      <c r="Q59" s="190">
        <f t="shared" si="11"/>
        <v>1.8394595693704374E-3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91E60676-2898-4F8E-A3F4-313643117FBA}">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A20E6972-547A-4DB8-9CC7-17CF085EE131}">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774123A-49F7-46CE-AF01-9DF0470D192D}">
      <formula1>#REF!</formula1>
    </dataValidation>
    <dataValidation type="list" showInputMessage="1" showErrorMessage="1" sqref="B18:B33" xr:uid="{022A1FC0-43C3-4AD5-8FB8-1B985B9D26C5}">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D5B961D-6136-4740-8F08-3E55CDE40BAC}">
          <x14:formula1>
            <xm:f>'Chemical Analysis'!$AA$4:$AA$27</xm:f>
          </x14:formula1>
          <xm:sqref>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65"/>
  <sheetViews>
    <sheetView showGridLines="0" showZeros="0" zoomScaleNormal="100" workbookViewId="0">
      <selection activeCell="F22" sqref="F22"/>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B1" s="33"/>
      <c r="C1" s="34"/>
      <c r="D1" s="34"/>
      <c r="E1" s="34"/>
      <c r="F1" s="34"/>
      <c r="G1" s="33"/>
      <c r="H1" s="33"/>
    </row>
    <row r="2" spans="1:33" ht="33" customHeight="1" thickBot="1" x14ac:dyDescent="0.45">
      <c r="A2" s="33"/>
      <c r="B2" s="36" t="str">
        <f>Date!B2</f>
        <v>010119</v>
      </c>
      <c r="C2" s="238">
        <v>-7</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4.6996772779692222</v>
      </c>
      <c r="C5" s="146" t="s">
        <v>13</v>
      </c>
      <c r="D5" s="253">
        <f>SUM(D7+E7+D9+E9+D11+E11)</f>
        <v>0.2955477613228894</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3.4097786153597847</v>
      </c>
      <c r="C7" s="103">
        <f>SUM(C9+B11+C11)</f>
        <v>0.72553463007851127</v>
      </c>
      <c r="D7" s="215">
        <f>H59</f>
        <v>0.22950916411903952</v>
      </c>
      <c r="E7" s="87">
        <f>I59</f>
        <v>6.6038597203849858E-2</v>
      </c>
      <c r="F7" s="89">
        <f>L59</f>
        <v>2.6578173537677762E-3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0.42410475915289442</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0.30142987092561679</v>
      </c>
      <c r="C11" s="71">
        <f>F59</f>
        <v>0</v>
      </c>
      <c r="D11" s="87">
        <f>K59</f>
        <v>0</v>
      </c>
      <c r="E11" s="204">
        <f>U59</f>
        <v>0</v>
      </c>
      <c r="F11" s="91">
        <f>P59</f>
        <v>0</v>
      </c>
      <c r="G11" s="91">
        <f>Q59</f>
        <v>1.8394595693704365E-3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37.383177570093466</v>
      </c>
      <c r="D18" s="98" t="str">
        <f>B18</f>
        <v>Neph Sy</v>
      </c>
      <c r="E18" s="99">
        <f t="shared" ref="E18:E29" si="0">C18/$Y$56*100</f>
        <v>37.383177570093466</v>
      </c>
      <c r="F18" s="98" t="str">
        <f>B18</f>
        <v>Neph Sy</v>
      </c>
      <c r="G18" s="99">
        <f t="shared" ref="G18:G29" si="1">E18*$G$17/100</f>
        <v>37.383177570093466</v>
      </c>
      <c r="H18" s="33"/>
      <c r="AD18" s="35"/>
      <c r="AE18" s="52"/>
    </row>
    <row r="19" spans="1:31" x14ac:dyDescent="0.5">
      <c r="A19" s="33"/>
      <c r="B19" s="95" t="s">
        <v>51</v>
      </c>
      <c r="C19" s="96">
        <v>18.691588785046733</v>
      </c>
      <c r="D19" s="100" t="str">
        <f t="shared" ref="D19:D29" si="2">B19</f>
        <v>Whiting</v>
      </c>
      <c r="E19" s="101">
        <f t="shared" si="0"/>
        <v>18.691588785046733</v>
      </c>
      <c r="F19" s="100" t="str">
        <f>B19</f>
        <v>Whiting</v>
      </c>
      <c r="G19" s="101">
        <f t="shared" si="1"/>
        <v>18.691588785046733</v>
      </c>
      <c r="H19" s="33"/>
      <c r="AE19" s="52"/>
    </row>
    <row r="20" spans="1:31" ht="18.75" customHeight="1" x14ac:dyDescent="0.5">
      <c r="A20" s="33"/>
      <c r="B20" s="95" t="s">
        <v>26</v>
      </c>
      <c r="C20" s="96">
        <v>28.037383177570096</v>
      </c>
      <c r="D20" s="100" t="str">
        <f t="shared" si="2"/>
        <v xml:space="preserve">Flint </v>
      </c>
      <c r="E20" s="101">
        <f t="shared" si="0"/>
        <v>28.037383177570096</v>
      </c>
      <c r="F20" s="100" t="str">
        <f t="shared" ref="F20:F29" si="3">B20</f>
        <v xml:space="preserve">Flint </v>
      </c>
      <c r="G20" s="101">
        <f t="shared" si="1"/>
        <v>28.037383177570096</v>
      </c>
      <c r="H20" s="33"/>
      <c r="AE20" s="52"/>
    </row>
    <row r="21" spans="1:31" x14ac:dyDescent="0.5">
      <c r="A21" s="33"/>
      <c r="B21" s="95" t="s">
        <v>22</v>
      </c>
      <c r="C21" s="96">
        <v>9.3457943925233664</v>
      </c>
      <c r="D21" s="100" t="str">
        <f>B21</f>
        <v>EPK</v>
      </c>
      <c r="E21" s="101">
        <f t="shared" si="0"/>
        <v>9.3457943925233664</v>
      </c>
      <c r="F21" s="100" t="str">
        <f t="shared" si="3"/>
        <v>EPK</v>
      </c>
      <c r="G21" s="101">
        <f t="shared" si="1"/>
        <v>9.3457943925233664</v>
      </c>
      <c r="H21" s="33"/>
      <c r="AE21" s="52"/>
    </row>
    <row r="22" spans="1:31" ht="20.25" customHeight="1" x14ac:dyDescent="0.5">
      <c r="A22" s="33"/>
      <c r="B22" s="95" t="s">
        <v>87</v>
      </c>
      <c r="C22" s="96">
        <v>6.5420560747663554</v>
      </c>
      <c r="D22" s="100" t="str">
        <f t="shared" si="2"/>
        <v>Titanium Dioxide</v>
      </c>
      <c r="E22" s="101">
        <f t="shared" si="0"/>
        <v>6.5420560747663554</v>
      </c>
      <c r="F22" s="100" t="str">
        <f t="shared" si="3"/>
        <v>Titanium Dioxide</v>
      </c>
      <c r="G22" s="101">
        <f t="shared" si="1"/>
        <v>6.5420560747663554</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23.158878504672902</v>
      </c>
      <c r="C38" s="29">
        <f>IF(ISNA(VLOOKUP($B18,'Chemical Analysis'!$B$4:$Y$119,3,0)),"",(VLOOKUP($B18,'Chemical Analysis'!$B$4:$Y$119,3,0))*$E18/100)</f>
        <v>0</v>
      </c>
      <c r="D38" s="29">
        <f>IF(ISNA(VLOOKUP($B18,'Chemical Analysis'!$B$4:$Y$119,4,0)),"",(VLOOKUP($B18,'Chemical Analysis'!$B$4:$Y$119,4,0))*$E18/100)</f>
        <v>8.2616822429906556</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3.8467289719626172</v>
      </c>
      <c r="I38" s="29">
        <f>IF(ISNA(VLOOKUP($B18,'Chemical Analysis'!$B$4:$Y$119,9,0)),"",(VLOOKUP($B18,'Chemical Analysis'!$B$4:$Y$119,9,0))*$E18/100)</f>
        <v>1.6448598130841126</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1.1214953271028038E-2</v>
      </c>
      <c r="M38" s="29">
        <f>IF(ISNA(VLOOKUP($B18,'Chemical Analysis'!$B$4:$Y$119,13,0)),"",(VLOOKUP($B18,'Chemical Analysis'!$B$4:$Y$119,13,0))*$E18/100)</f>
        <v>0.13457943925233645</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1.4953271028037387E-2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1.8691588785046734E-3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10.472897196261686</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27.628037383177574</v>
      </c>
      <c r="C40" s="29">
        <f>IF(ISNA(VLOOKUP($B20,'Chemical Analysis'!$B$4:$Y$119,3,0)),"",(VLOOKUP($B20,'Chemical Analysis'!$B$4:$Y$119,3,0))*$E20/100)</f>
        <v>0</v>
      </c>
      <c r="D40" s="29">
        <f>IF(ISNA(VLOOKUP($B20,'Chemical Analysis'!$B$4:$Y$119,4,0)),"",(VLOOKUP($B20,'Chemical Analysis'!$B$4:$Y$119,4,0))*$E20/100)</f>
        <v>0.1177570093457944</v>
      </c>
      <c r="E40" s="29">
        <f>IF(ISNA(VLOOKUP($B20,'Chemical Analysis'!$B$4:$Y$119,5,0)),"",(VLOOKUP($B20,'Chemical Analysis'!$B$4:$Y$119,5,0))*$E20/100)</f>
        <v>1.6822429906542057E-2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2.8037383177570096E-3</v>
      </c>
      <c r="M40" s="29">
        <f>IF(ISNA(VLOOKUP($B20,'Chemical Analysis'!$B$4:$Y$119,13,0)),"",(VLOOKUP($B20,'Chemical Analysis'!$B$4:$Y$119,13,0))*$E20/100)</f>
        <v>2.8037383177570096E-3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1.6822429906542057E-2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4.6205607476635517</v>
      </c>
      <c r="C41" s="29">
        <f>IF(ISNA(VLOOKUP($B21,'Chemical Analysis'!$B$4:$Y$119,3,0)),"",(VLOOKUP($B21,'Chemical Analysis'!$B$4:$Y$119,3,0))*$E21/100)</f>
        <v>0</v>
      </c>
      <c r="D41" s="29">
        <f>IF(ISNA(VLOOKUP($B21,'Chemical Analysis'!$B$4:$Y$119,4,0)),"",(VLOOKUP($B21,'Chemical Analysis'!$B$4:$Y$119,4,0))*$E21/100)</f>
        <v>3.3140186915887857</v>
      </c>
      <c r="E41" s="29">
        <f>IF(ISNA(VLOOKUP($B21,'Chemical Analysis'!$B$4:$Y$119,5,0)),"",(VLOOKUP($B21,'Chemical Analysis'!$B$4:$Y$119,5,0))*$E21/100)</f>
        <v>3.3644859813084113E-2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3.7383177570093469E-2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1.4953271028037387E-2</v>
      </c>
      <c r="M41" s="29">
        <f>IF(ISNA(VLOOKUP($B21,'Chemical Analysis'!$B$4:$Y$119,13,0)),"",(VLOOKUP($B21,'Chemical Analysis'!$B$4:$Y$119,13,0))*$E21/100)</f>
        <v>4.6728971962616836E-3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4.7663551401869168E-2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6.5420560747663554</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55.40747663551403</v>
      </c>
      <c r="C54" s="55">
        <f t="shared" ref="C54:W54" si="8">SUM(C38:C53)</f>
        <v>0</v>
      </c>
      <c r="D54" s="55">
        <f t="shared" si="8"/>
        <v>11.693457943925235</v>
      </c>
      <c r="E54" s="55">
        <f t="shared" si="8"/>
        <v>6.594392523364486</v>
      </c>
      <c r="F54" s="55">
        <f t="shared" si="8"/>
        <v>0</v>
      </c>
      <c r="G54" s="55">
        <f t="shared" si="8"/>
        <v>0</v>
      </c>
      <c r="H54" s="55">
        <f t="shared" si="8"/>
        <v>3.8467289719626172</v>
      </c>
      <c r="I54" s="55">
        <f t="shared" si="8"/>
        <v>1.682242990654206</v>
      </c>
      <c r="J54" s="55">
        <f t="shared" si="8"/>
        <v>0</v>
      </c>
      <c r="K54" s="55">
        <f t="shared" si="8"/>
        <v>0</v>
      </c>
      <c r="L54" s="55">
        <f t="shared" si="8"/>
        <v>2.8971962616822437E-2</v>
      </c>
      <c r="M54" s="55">
        <f t="shared" si="8"/>
        <v>10.614953271028041</v>
      </c>
      <c r="N54" s="55">
        <f t="shared" si="8"/>
        <v>0</v>
      </c>
      <c r="O54" s="55">
        <f t="shared" si="8"/>
        <v>0</v>
      </c>
      <c r="P54" s="55">
        <f t="shared" si="8"/>
        <v>0</v>
      </c>
      <c r="Q54" s="55">
        <f t="shared" si="8"/>
        <v>7.9439252336448607E-2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100</v>
      </c>
      <c r="Z56" s="35"/>
      <c r="AE56"/>
      <c r="AF56"/>
      <c r="AG56"/>
      <c r="AH56"/>
    </row>
    <row r="57" spans="2:34" ht="12.9" thickBot="1" x14ac:dyDescent="0.35">
      <c r="B57" s="192">
        <f t="shared" ref="B57:X57" si="9">B$54/B$56</f>
        <v>0.9220748316777172</v>
      </c>
      <c r="C57" s="193">
        <f t="shared" si="9"/>
        <v>0</v>
      </c>
      <c r="D57" s="193">
        <f t="shared" si="9"/>
        <v>0.11468671973249545</v>
      </c>
      <c r="E57" s="193">
        <f t="shared" si="9"/>
        <v>8.1512886568164217E-2</v>
      </c>
      <c r="F57" s="193">
        <f t="shared" si="9"/>
        <v>0</v>
      </c>
      <c r="G57" s="193">
        <f t="shared" si="9"/>
        <v>0</v>
      </c>
      <c r="H57" s="193">
        <f t="shared" si="9"/>
        <v>6.2064036333698246E-2</v>
      </c>
      <c r="I57" s="193">
        <f t="shared" si="9"/>
        <v>1.7858205845586051E-2</v>
      </c>
      <c r="J57" s="193">
        <f t="shared" si="9"/>
        <v>0</v>
      </c>
      <c r="K57" s="193">
        <f t="shared" si="9"/>
        <v>0</v>
      </c>
      <c r="L57" s="193">
        <f t="shared" si="9"/>
        <v>7.1872891631908796E-4</v>
      </c>
      <c r="M57" s="193">
        <f t="shared" si="9"/>
        <v>0.18928233364885952</v>
      </c>
      <c r="N57" s="193">
        <f t="shared" si="9"/>
        <v>0</v>
      </c>
      <c r="O57" s="193">
        <f t="shared" si="9"/>
        <v>0</v>
      </c>
      <c r="P57" s="193">
        <f t="shared" si="9"/>
        <v>0</v>
      </c>
      <c r="Q57" s="193">
        <f t="shared" si="9"/>
        <v>4.9742800461145028E-4</v>
      </c>
      <c r="R57" s="193">
        <f t="shared" si="9"/>
        <v>0</v>
      </c>
      <c r="S57" s="193">
        <f t="shared" si="9"/>
        <v>0</v>
      </c>
      <c r="T57" s="193">
        <f t="shared" si="9"/>
        <v>0</v>
      </c>
      <c r="U57" s="193">
        <f t="shared" si="9"/>
        <v>0</v>
      </c>
      <c r="V57" s="193">
        <f t="shared" si="9"/>
        <v>0</v>
      </c>
      <c r="W57" s="193">
        <f t="shared" si="9"/>
        <v>0</v>
      </c>
      <c r="X57" s="194">
        <f t="shared" si="9"/>
        <v>0</v>
      </c>
      <c r="Y57" s="104">
        <f>SUM(B57:X57)</f>
        <v>1.3886951707274513</v>
      </c>
      <c r="Z57" s="35"/>
      <c r="AE57"/>
      <c r="AF57"/>
      <c r="AG57"/>
      <c r="AH57"/>
    </row>
    <row r="58" spans="2:34" ht="12.9" thickBot="1" x14ac:dyDescent="0.35">
      <c r="B58" s="187">
        <f t="shared" ref="B58:X58" si="10">B57/$Y$57*100</f>
        <v>66.398648970219966</v>
      </c>
      <c r="C58" s="30">
        <f t="shared" si="10"/>
        <v>0</v>
      </c>
      <c r="D58" s="30">
        <f t="shared" si="10"/>
        <v>8.2585957055224846</v>
      </c>
      <c r="E58" s="30">
        <f t="shared" si="10"/>
        <v>5.8697465279917882</v>
      </c>
      <c r="F58" s="30">
        <f t="shared" si="10"/>
        <v>0</v>
      </c>
      <c r="G58" s="30">
        <f t="shared" si="10"/>
        <v>0</v>
      </c>
      <c r="H58" s="30">
        <f t="shared" si="10"/>
        <v>4.469233971713658</v>
      </c>
      <c r="I58" s="30">
        <f t="shared" si="10"/>
        <v>1.2859701842436195</v>
      </c>
      <c r="J58" s="30">
        <f t="shared" si="10"/>
        <v>0</v>
      </c>
      <c r="K58" s="30">
        <f t="shared" si="10"/>
        <v>0</v>
      </c>
      <c r="L58" s="30">
        <f t="shared" si="10"/>
        <v>5.175570070878769E-2</v>
      </c>
      <c r="M58" s="30">
        <f t="shared" si="10"/>
        <v>13.630229127224966</v>
      </c>
      <c r="N58" s="30">
        <f t="shared" si="10"/>
        <v>0</v>
      </c>
      <c r="O58" s="30">
        <f t="shared" si="10"/>
        <v>0</v>
      </c>
      <c r="P58" s="30">
        <f t="shared" si="10"/>
        <v>0</v>
      </c>
      <c r="Q58" s="30">
        <f t="shared" si="10"/>
        <v>3.5819812374725736E-2</v>
      </c>
      <c r="R58" s="30">
        <f t="shared" si="10"/>
        <v>0</v>
      </c>
      <c r="S58" s="30">
        <f t="shared" si="10"/>
        <v>0</v>
      </c>
      <c r="T58" s="30">
        <f t="shared" si="10"/>
        <v>0</v>
      </c>
      <c r="U58" s="30">
        <f t="shared" si="10"/>
        <v>0</v>
      </c>
      <c r="V58" s="30">
        <f t="shared" si="10"/>
        <v>0</v>
      </c>
      <c r="W58" s="30">
        <f t="shared" si="10"/>
        <v>0</v>
      </c>
      <c r="X58" s="188">
        <f t="shared" si="10"/>
        <v>0</v>
      </c>
      <c r="Y58" s="104">
        <f>SUM(G58:U58)</f>
        <v>19.473008796265759</v>
      </c>
      <c r="Z58" s="35"/>
      <c r="AE58"/>
      <c r="AF58"/>
      <c r="AG58"/>
      <c r="AH58"/>
    </row>
    <row r="59" spans="2:34" ht="12.9" thickBot="1" x14ac:dyDescent="0.35">
      <c r="B59" s="189">
        <f t="shared" ref="B59:X59" si="11">B58/$Y$58</f>
        <v>3.4097786153597847</v>
      </c>
      <c r="C59" s="190">
        <f t="shared" si="11"/>
        <v>0</v>
      </c>
      <c r="D59" s="190">
        <f t="shared" si="11"/>
        <v>0.42410475915289442</v>
      </c>
      <c r="E59" s="190">
        <f t="shared" si="11"/>
        <v>0.30142987092561679</v>
      </c>
      <c r="F59" s="190">
        <f t="shared" si="11"/>
        <v>0</v>
      </c>
      <c r="G59" s="190">
        <f t="shared" si="11"/>
        <v>0</v>
      </c>
      <c r="H59" s="190">
        <f t="shared" si="11"/>
        <v>0.22950916411903952</v>
      </c>
      <c r="I59" s="190">
        <f t="shared" si="11"/>
        <v>6.6038597203849858E-2</v>
      </c>
      <c r="J59" s="190">
        <f t="shared" si="11"/>
        <v>0</v>
      </c>
      <c r="K59" s="190">
        <f t="shared" si="11"/>
        <v>0</v>
      </c>
      <c r="L59" s="190">
        <f t="shared" si="11"/>
        <v>2.6578173537677762E-3</v>
      </c>
      <c r="M59" s="190">
        <f t="shared" si="11"/>
        <v>0.69995496175397232</v>
      </c>
      <c r="N59" s="190">
        <f t="shared" si="11"/>
        <v>0</v>
      </c>
      <c r="O59" s="190">
        <f t="shared" si="11"/>
        <v>0</v>
      </c>
      <c r="P59" s="190">
        <f t="shared" si="11"/>
        <v>0</v>
      </c>
      <c r="Q59" s="190">
        <f t="shared" si="11"/>
        <v>1.8394595693704365E-3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17F754A-40A6-4381-A6A5-5BC2ACC71A45}">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64396DF2-D99E-4617-9942-B3CB21DB0412}">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78F92E5-5974-496B-AA45-30D80DA50E95}">
      <formula1>#REF!</formula1>
    </dataValidation>
    <dataValidation type="list" showInputMessage="1" showErrorMessage="1" sqref="B18:B33" xr:uid="{68AA4B15-C4DF-4061-A102-3A85BF1C4B63}">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B9AC29-D4B1-44D5-B098-6759544E3A28}">
          <x14:formula1>
            <xm:f>'Chemical Analysis'!$AA$4:$AA$27</xm:f>
          </x14:formula1>
          <xm:sqref>G3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65"/>
  <sheetViews>
    <sheetView showGridLines="0" showZeros="0" zoomScaleNormal="100" workbookViewId="0">
      <selection activeCell="X11" sqref="X11"/>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B1" s="33"/>
      <c r="C1" s="34"/>
      <c r="D1" s="34"/>
      <c r="E1" s="34"/>
      <c r="F1" s="34"/>
      <c r="G1" s="33"/>
      <c r="H1" s="33"/>
    </row>
    <row r="2" spans="1:33" ht="33" customHeight="1" thickBot="1" x14ac:dyDescent="0.45">
      <c r="A2" s="33"/>
      <c r="B2" s="36" t="str">
        <f>Date!B2</f>
        <v>010119</v>
      </c>
      <c r="C2" s="238">
        <v>-8</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4.4383463794049467</v>
      </c>
      <c r="C5" s="146" t="s">
        <v>13</v>
      </c>
      <c r="D5" s="253">
        <f>SUM(D7+E7+D9+E9+D11+E11)</f>
        <v>0.29554776132288946</v>
      </c>
      <c r="E5" s="254"/>
      <c r="F5" s="255">
        <f>SUM(F7+G7+F9+G9+G13+F11+G11+F13+AG13)</f>
        <v>0.70445223867711071</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3.4097786153597851</v>
      </c>
      <c r="C7" s="103">
        <f>SUM(C9+B11+C11)</f>
        <v>0.76825428298747089</v>
      </c>
      <c r="D7" s="215">
        <f>H59</f>
        <v>0.22950916411903957</v>
      </c>
      <c r="E7" s="87">
        <f>I59</f>
        <v>6.6038597203849872E-2</v>
      </c>
      <c r="F7" s="89">
        <f>L59</f>
        <v>2.6578173537677775E-3</v>
      </c>
      <c r="G7" s="91">
        <f>M59</f>
        <v>0.69995496175397243</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0.42410475915289469</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0.3441495238345762</v>
      </c>
      <c r="C11" s="71">
        <f>F59</f>
        <v>0</v>
      </c>
      <c r="D11" s="87">
        <f>K59</f>
        <v>0</v>
      </c>
      <c r="E11" s="204">
        <f>U59</f>
        <v>0</v>
      </c>
      <c r="F11" s="91">
        <f>P59</f>
        <v>0</v>
      </c>
      <c r="G11" s="91">
        <f>Q59</f>
        <v>1.8394595693704372E-3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37.037037037037038</v>
      </c>
      <c r="D18" s="98" t="str">
        <f>B18</f>
        <v>Neph Sy</v>
      </c>
      <c r="E18" s="99">
        <f t="shared" ref="E18:E29" si="0">C18/$Y$56*100</f>
        <v>37.037037037037045</v>
      </c>
      <c r="F18" s="98" t="str">
        <f>B18</f>
        <v>Neph Sy</v>
      </c>
      <c r="G18" s="99">
        <f t="shared" ref="G18:G29" si="1">E18*$G$17/100</f>
        <v>37.037037037037045</v>
      </c>
      <c r="H18" s="33"/>
      <c r="AD18" s="35"/>
      <c r="AE18" s="52"/>
    </row>
    <row r="19" spans="1:31" x14ac:dyDescent="0.5">
      <c r="A19" s="33"/>
      <c r="B19" s="95" t="s">
        <v>51</v>
      </c>
      <c r="C19" s="96">
        <v>18.518518518518519</v>
      </c>
      <c r="D19" s="100" t="str">
        <f t="shared" ref="D19:D29" si="2">B19</f>
        <v>Whiting</v>
      </c>
      <c r="E19" s="101">
        <f t="shared" si="0"/>
        <v>18.518518518518523</v>
      </c>
      <c r="F19" s="100" t="str">
        <f>B19</f>
        <v>Whiting</v>
      </c>
      <c r="G19" s="101">
        <f t="shared" si="1"/>
        <v>18.518518518518523</v>
      </c>
      <c r="H19" s="33"/>
      <c r="AE19" s="52"/>
    </row>
    <row r="20" spans="1:31" ht="18.75" customHeight="1" x14ac:dyDescent="0.5">
      <c r="A20" s="33"/>
      <c r="B20" s="95" t="s">
        <v>26</v>
      </c>
      <c r="C20" s="96">
        <v>27.777777777777775</v>
      </c>
      <c r="D20" s="100" t="str">
        <f t="shared" si="2"/>
        <v xml:space="preserve">Flint </v>
      </c>
      <c r="E20" s="101">
        <f t="shared" si="0"/>
        <v>27.777777777777779</v>
      </c>
      <c r="F20" s="100" t="str">
        <f t="shared" ref="F20:F29" si="3">B20</f>
        <v xml:space="preserve">Flint </v>
      </c>
      <c r="G20" s="101">
        <f t="shared" si="1"/>
        <v>27.777777777777779</v>
      </c>
      <c r="H20" s="33"/>
      <c r="AE20" s="52"/>
    </row>
    <row r="21" spans="1:31" x14ac:dyDescent="0.5">
      <c r="A21" s="33"/>
      <c r="B21" s="95" t="s">
        <v>22</v>
      </c>
      <c r="C21" s="96">
        <v>9.2592592592592595</v>
      </c>
      <c r="D21" s="100" t="str">
        <f>B21</f>
        <v>EPK</v>
      </c>
      <c r="E21" s="101">
        <f t="shared" si="0"/>
        <v>9.2592592592592613</v>
      </c>
      <c r="F21" s="100" t="str">
        <f t="shared" si="3"/>
        <v>EPK</v>
      </c>
      <c r="G21" s="101">
        <f t="shared" si="1"/>
        <v>9.2592592592592613</v>
      </c>
      <c r="H21" s="33"/>
      <c r="AE21" s="52"/>
    </row>
    <row r="22" spans="1:31" ht="20.25" customHeight="1" x14ac:dyDescent="0.5">
      <c r="A22" s="33"/>
      <c r="B22" s="95" t="s">
        <v>87</v>
      </c>
      <c r="C22" s="96">
        <v>7.4074074074074057</v>
      </c>
      <c r="D22" s="100" t="str">
        <f t="shared" si="2"/>
        <v>Titanium Dioxide</v>
      </c>
      <c r="E22" s="101">
        <f t="shared" si="0"/>
        <v>7.4074074074074066</v>
      </c>
      <c r="F22" s="100" t="str">
        <f t="shared" si="3"/>
        <v>Titanium Dioxide</v>
      </c>
      <c r="G22" s="101">
        <f t="shared" si="1"/>
        <v>7.4074074074074066</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22.944444444444454</v>
      </c>
      <c r="C38" s="29">
        <f>IF(ISNA(VLOOKUP($B18,'Chemical Analysis'!$B$4:$Y$119,3,0)),"",(VLOOKUP($B18,'Chemical Analysis'!$B$4:$Y$119,3,0))*$E18/100)</f>
        <v>0</v>
      </c>
      <c r="D38" s="29">
        <f>IF(ISNA(VLOOKUP($B18,'Chemical Analysis'!$B$4:$Y$119,4,0)),"",(VLOOKUP($B18,'Chemical Analysis'!$B$4:$Y$119,4,0))*$E18/100)</f>
        <v>8.1851851851851869</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3.8111111111111113</v>
      </c>
      <c r="I38" s="29">
        <f>IF(ISNA(VLOOKUP($B18,'Chemical Analysis'!$B$4:$Y$119,9,0)),"",(VLOOKUP($B18,'Chemical Analysis'!$B$4:$Y$119,9,0))*$E18/100)</f>
        <v>1.6296296296296302</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1.1111111111111113E-2</v>
      </c>
      <c r="M38" s="29">
        <f>IF(ISNA(VLOOKUP($B18,'Chemical Analysis'!$B$4:$Y$119,13,0)),"",(VLOOKUP($B18,'Chemical Analysis'!$B$4:$Y$119,13,0))*$E18/100)</f>
        <v>0.13333333333333336</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1.4814814814814819E-2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1.8518518518518524E-3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10.375925925925928</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27.372222222222227</v>
      </c>
      <c r="C40" s="29">
        <f>IF(ISNA(VLOOKUP($B20,'Chemical Analysis'!$B$4:$Y$119,3,0)),"",(VLOOKUP($B20,'Chemical Analysis'!$B$4:$Y$119,3,0))*$E20/100)</f>
        <v>0</v>
      </c>
      <c r="D40" s="29">
        <f>IF(ISNA(VLOOKUP($B20,'Chemical Analysis'!$B$4:$Y$119,4,0)),"",(VLOOKUP($B20,'Chemical Analysis'!$B$4:$Y$119,4,0))*$E20/100)</f>
        <v>0.11666666666666665</v>
      </c>
      <c r="E40" s="29">
        <f>IF(ISNA(VLOOKUP($B20,'Chemical Analysis'!$B$4:$Y$119,5,0)),"",(VLOOKUP($B20,'Chemical Analysis'!$B$4:$Y$119,5,0))*$E20/100)</f>
        <v>1.6666666666666666E-2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2.7777777777777779E-3</v>
      </c>
      <c r="M40" s="29">
        <f>IF(ISNA(VLOOKUP($B20,'Chemical Analysis'!$B$4:$Y$119,13,0)),"",(VLOOKUP($B20,'Chemical Analysis'!$B$4:$Y$119,13,0))*$E20/100)</f>
        <v>2.7777777777777779E-3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1.6666666666666666E-2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4.5777777777777793</v>
      </c>
      <c r="C41" s="29">
        <f>IF(ISNA(VLOOKUP($B21,'Chemical Analysis'!$B$4:$Y$119,3,0)),"",(VLOOKUP($B21,'Chemical Analysis'!$B$4:$Y$119,3,0))*$E21/100)</f>
        <v>0</v>
      </c>
      <c r="D41" s="29">
        <f>IF(ISNA(VLOOKUP($B21,'Chemical Analysis'!$B$4:$Y$119,4,0)),"",(VLOOKUP($B21,'Chemical Analysis'!$B$4:$Y$119,4,0))*$E21/100)</f>
        <v>3.2833333333333341</v>
      </c>
      <c r="E41" s="29">
        <f>IF(ISNA(VLOOKUP($B21,'Chemical Analysis'!$B$4:$Y$119,5,0)),"",(VLOOKUP($B21,'Chemical Analysis'!$B$4:$Y$119,5,0))*$E21/100)</f>
        <v>3.333333333333334E-2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3.7037037037037049E-2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1.4814814814814819E-2</v>
      </c>
      <c r="M41" s="29">
        <f>IF(ISNA(VLOOKUP($B21,'Chemical Analysis'!$B$4:$Y$119,13,0)),"",(VLOOKUP($B21,'Chemical Analysis'!$B$4:$Y$119,13,0))*$E21/100)</f>
        <v>4.6296296296296311E-3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4.7222222222222235E-2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7.4074074074074066</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54.89444444444446</v>
      </c>
      <c r="C54" s="55">
        <f t="shared" ref="C54:W54" si="8">SUM(C38:C53)</f>
        <v>0</v>
      </c>
      <c r="D54" s="55">
        <f t="shared" si="8"/>
        <v>11.585185185185189</v>
      </c>
      <c r="E54" s="55">
        <f t="shared" si="8"/>
        <v>7.4592592592592588</v>
      </c>
      <c r="F54" s="55">
        <f t="shared" si="8"/>
        <v>0</v>
      </c>
      <c r="G54" s="55">
        <f t="shared" si="8"/>
        <v>0</v>
      </c>
      <c r="H54" s="55">
        <f t="shared" si="8"/>
        <v>3.8111111111111113</v>
      </c>
      <c r="I54" s="55">
        <f t="shared" si="8"/>
        <v>1.6666666666666672</v>
      </c>
      <c r="J54" s="55">
        <f t="shared" si="8"/>
        <v>0</v>
      </c>
      <c r="K54" s="55">
        <f t="shared" si="8"/>
        <v>0</v>
      </c>
      <c r="L54" s="55">
        <f t="shared" si="8"/>
        <v>2.870370370370371E-2</v>
      </c>
      <c r="M54" s="55">
        <f t="shared" si="8"/>
        <v>10.516666666666669</v>
      </c>
      <c r="N54" s="55">
        <f t="shared" si="8"/>
        <v>0</v>
      </c>
      <c r="O54" s="55">
        <f t="shared" si="8"/>
        <v>0</v>
      </c>
      <c r="P54" s="55">
        <f t="shared" si="8"/>
        <v>0</v>
      </c>
      <c r="Q54" s="55">
        <f t="shared" si="8"/>
        <v>7.870370370370372E-2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99.999999999999986</v>
      </c>
      <c r="Z56" s="35"/>
      <c r="AE56"/>
      <c r="AF56"/>
      <c r="AG56"/>
      <c r="AH56"/>
    </row>
    <row r="57" spans="2:34" ht="12.9" thickBot="1" x14ac:dyDescent="0.35">
      <c r="B57" s="192">
        <f t="shared" ref="B57:X57" si="9">B$54/B$56</f>
        <v>0.91353710175477543</v>
      </c>
      <c r="C57" s="193">
        <f t="shared" si="9"/>
        <v>0</v>
      </c>
      <c r="D57" s="193">
        <f t="shared" si="9"/>
        <v>0.11362480566089829</v>
      </c>
      <c r="E57" s="193">
        <f t="shared" si="9"/>
        <v>9.2203451906789344E-2</v>
      </c>
      <c r="F57" s="193">
        <f t="shared" si="9"/>
        <v>0</v>
      </c>
      <c r="G57" s="193">
        <f t="shared" si="9"/>
        <v>0</v>
      </c>
      <c r="H57" s="193">
        <f t="shared" si="9"/>
        <v>6.1489369330608445E-2</v>
      </c>
      <c r="I57" s="193">
        <f t="shared" si="9"/>
        <v>1.7692852087756551E-2</v>
      </c>
      <c r="J57" s="193">
        <f t="shared" si="9"/>
        <v>0</v>
      </c>
      <c r="K57" s="193">
        <f t="shared" si="9"/>
        <v>0</v>
      </c>
      <c r="L57" s="193">
        <f t="shared" si="9"/>
        <v>7.1207401894576308E-4</v>
      </c>
      <c r="M57" s="193">
        <f t="shared" si="9"/>
        <v>0.1875297194484071</v>
      </c>
      <c r="N57" s="193">
        <f t="shared" si="9"/>
        <v>0</v>
      </c>
      <c r="O57" s="193">
        <f t="shared" si="9"/>
        <v>0</v>
      </c>
      <c r="P57" s="193">
        <f t="shared" si="9"/>
        <v>0</v>
      </c>
      <c r="Q57" s="193">
        <f t="shared" si="9"/>
        <v>4.9282218975393692E-4</v>
      </c>
      <c r="R57" s="193">
        <f t="shared" si="9"/>
        <v>0</v>
      </c>
      <c r="S57" s="193">
        <f t="shared" si="9"/>
        <v>0</v>
      </c>
      <c r="T57" s="193">
        <f t="shared" si="9"/>
        <v>0</v>
      </c>
      <c r="U57" s="193">
        <f t="shared" si="9"/>
        <v>0</v>
      </c>
      <c r="V57" s="193">
        <f t="shared" si="9"/>
        <v>0</v>
      </c>
      <c r="W57" s="193">
        <f t="shared" si="9"/>
        <v>0</v>
      </c>
      <c r="X57" s="194">
        <f t="shared" si="9"/>
        <v>0</v>
      </c>
      <c r="Y57" s="104">
        <f>SUM(B57:X57)</f>
        <v>1.3872821963979349</v>
      </c>
      <c r="Z57" s="35"/>
      <c r="AE57"/>
      <c r="AF57"/>
      <c r="AG57"/>
      <c r="AH57"/>
    </row>
    <row r="58" spans="2:34" ht="12.9" thickBot="1" x14ac:dyDescent="0.35">
      <c r="B58" s="187">
        <f t="shared" ref="B58:X58" si="10">B57/$Y$57*100</f>
        <v>65.850848812647186</v>
      </c>
      <c r="C58" s="30">
        <f t="shared" si="10"/>
        <v>0</v>
      </c>
      <c r="D58" s="30">
        <f t="shared" si="10"/>
        <v>8.1904608850257006</v>
      </c>
      <c r="E58" s="30">
        <f t="shared" si="10"/>
        <v>6.6463371436752183</v>
      </c>
      <c r="F58" s="30">
        <f t="shared" si="10"/>
        <v>0</v>
      </c>
      <c r="G58" s="30">
        <f t="shared" si="10"/>
        <v>0</v>
      </c>
      <c r="H58" s="30">
        <f t="shared" si="10"/>
        <v>4.4323620306138869</v>
      </c>
      <c r="I58" s="30">
        <f t="shared" si="10"/>
        <v>1.2753607113027092</v>
      </c>
      <c r="J58" s="30">
        <f t="shared" si="10"/>
        <v>0</v>
      </c>
      <c r="K58" s="30">
        <f t="shared" si="10"/>
        <v>0</v>
      </c>
      <c r="L58" s="30">
        <f t="shared" si="10"/>
        <v>5.1328707367156917E-2</v>
      </c>
      <c r="M58" s="30">
        <f t="shared" si="10"/>
        <v>13.517777416543385</v>
      </c>
      <c r="N58" s="30">
        <f t="shared" si="10"/>
        <v>0</v>
      </c>
      <c r="O58" s="30">
        <f t="shared" si="10"/>
        <v>0</v>
      </c>
      <c r="P58" s="30">
        <f t="shared" si="10"/>
        <v>0</v>
      </c>
      <c r="Q58" s="30">
        <f t="shared" si="10"/>
        <v>3.5524292824743592E-2</v>
      </c>
      <c r="R58" s="30">
        <f t="shared" si="10"/>
        <v>0</v>
      </c>
      <c r="S58" s="30">
        <f t="shared" si="10"/>
        <v>0</v>
      </c>
      <c r="T58" s="30">
        <f t="shared" si="10"/>
        <v>0</v>
      </c>
      <c r="U58" s="30">
        <f t="shared" si="10"/>
        <v>0</v>
      </c>
      <c r="V58" s="30">
        <f t="shared" si="10"/>
        <v>0</v>
      </c>
      <c r="W58" s="30">
        <f t="shared" si="10"/>
        <v>0</v>
      </c>
      <c r="X58" s="188">
        <f t="shared" si="10"/>
        <v>0</v>
      </c>
      <c r="Y58" s="104">
        <f>SUM(G58:U58)</f>
        <v>19.312353158651881</v>
      </c>
      <c r="Z58" s="35"/>
      <c r="AE58"/>
      <c r="AF58"/>
      <c r="AG58"/>
      <c r="AH58"/>
    </row>
    <row r="59" spans="2:34" ht="12.9" thickBot="1" x14ac:dyDescent="0.35">
      <c r="B59" s="189">
        <f t="shared" ref="B59:X59" si="11">B58/$Y$58</f>
        <v>3.4097786153597851</v>
      </c>
      <c r="C59" s="190">
        <f t="shared" si="11"/>
        <v>0</v>
      </c>
      <c r="D59" s="190">
        <f t="shared" si="11"/>
        <v>0.42410475915289469</v>
      </c>
      <c r="E59" s="190">
        <f t="shared" si="11"/>
        <v>0.3441495238345762</v>
      </c>
      <c r="F59" s="190">
        <f t="shared" si="11"/>
        <v>0</v>
      </c>
      <c r="G59" s="190">
        <f t="shared" si="11"/>
        <v>0</v>
      </c>
      <c r="H59" s="190">
        <f t="shared" si="11"/>
        <v>0.22950916411903957</v>
      </c>
      <c r="I59" s="190">
        <f t="shared" si="11"/>
        <v>6.6038597203849872E-2</v>
      </c>
      <c r="J59" s="190">
        <f t="shared" si="11"/>
        <v>0</v>
      </c>
      <c r="K59" s="190">
        <f t="shared" si="11"/>
        <v>0</v>
      </c>
      <c r="L59" s="190">
        <f t="shared" si="11"/>
        <v>2.6578173537677775E-3</v>
      </c>
      <c r="M59" s="190">
        <f t="shared" si="11"/>
        <v>0.69995496175397243</v>
      </c>
      <c r="N59" s="190">
        <f t="shared" si="11"/>
        <v>0</v>
      </c>
      <c r="O59" s="190">
        <f t="shared" si="11"/>
        <v>0</v>
      </c>
      <c r="P59" s="190">
        <f t="shared" si="11"/>
        <v>0</v>
      </c>
      <c r="Q59" s="190">
        <f t="shared" si="11"/>
        <v>1.8394595693704372E-3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A371E86C-FAFF-4FC6-B060-507208F399C4}">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8DB543E7-777A-435E-B71E-2ACFED0CDA9A}">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3670BE4-5165-49BF-9F69-E6FC2EC0352D}">
      <formula1>#REF!</formula1>
    </dataValidation>
    <dataValidation type="list" showInputMessage="1" showErrorMessage="1" sqref="B18:B33" xr:uid="{5A5D81E4-610C-4171-BDD7-54311CB83504}">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0CB8BB-B678-468A-A3CD-17AA9E786BAF}">
          <x14:formula1>
            <xm:f>'Chemical Analysis'!$AA$4:$AA$27</xm:f>
          </x14:formula1>
          <xm:sqref>G3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I65"/>
  <sheetViews>
    <sheetView showGridLines="0" showZeros="0" zoomScaleNormal="100" workbookViewId="0">
      <selection activeCell="W6" sqref="W6:X8"/>
    </sheetView>
  </sheetViews>
  <sheetFormatPr defaultRowHeight="20.149999999999999" x14ac:dyDescent="0.5"/>
  <cols>
    <col min="1" max="1" width="2.84375" style="35" customWidth="1"/>
    <col min="2" max="2" width="29.4609375" style="35" customWidth="1"/>
    <col min="3" max="3" width="22.23046875" style="62" customWidth="1"/>
    <col min="4" max="4" width="25.23046875" style="62" bestFit="1" customWidth="1"/>
    <col min="5" max="5" width="17.23046875" style="62" customWidth="1"/>
    <col min="6" max="6" width="25.23046875" style="62" bestFit="1" customWidth="1"/>
    <col min="7" max="7" width="28.23046875" style="35" bestFit="1" customWidth="1"/>
    <col min="8" max="8" width="7.53515625" style="35" bestFit="1" customWidth="1"/>
    <col min="9" max="9" width="7.152343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23046875" bestFit="1" customWidth="1"/>
    <col min="19" max="19" width="6.69140625" bestFit="1" customWidth="1"/>
    <col min="20" max="21" width="8" bestFit="1" customWidth="1"/>
    <col min="22" max="24" width="8.23046875" bestFit="1" customWidth="1"/>
    <col min="25" max="25" width="7.15234375" bestFit="1" customWidth="1"/>
    <col min="26" max="26" width="16.15234375" customWidth="1"/>
    <col min="27" max="27" width="10.15234375" customWidth="1"/>
    <col min="28" max="28" width="14.4609375" customWidth="1"/>
    <col min="29" max="30" width="18.84375" customWidth="1"/>
    <col min="31" max="31" width="14.69140625" style="35" customWidth="1"/>
    <col min="32" max="241" width="8.84375" style="35"/>
    <col min="242" max="242" width="17.4609375" style="35" customWidth="1"/>
    <col min="243" max="243" width="30.69140625" style="35" customWidth="1"/>
    <col min="244" max="244" width="24.53515625" style="35" customWidth="1"/>
    <col min="245" max="245" width="30.53515625" style="35" customWidth="1"/>
    <col min="246" max="246" width="27.15234375" style="35" customWidth="1"/>
    <col min="247" max="247" width="34" style="35" customWidth="1"/>
    <col min="248" max="248" width="31.4609375" style="35" customWidth="1"/>
    <col min="249" max="249" width="82.15234375" style="35" customWidth="1"/>
    <col min="250" max="250" width="23.15234375" style="35" customWidth="1"/>
    <col min="251" max="251" width="14.69140625" style="35" customWidth="1"/>
    <col min="252" max="252" width="10.15234375" style="35" customWidth="1"/>
    <col min="253" max="253" width="15.84375" style="35" customWidth="1"/>
    <col min="254" max="254" width="9.84375" style="35" customWidth="1"/>
    <col min="255" max="255" width="14" style="35" customWidth="1"/>
    <col min="256" max="256" width="14.53515625" style="35" customWidth="1"/>
    <col min="257" max="257" width="9.53515625" style="35" customWidth="1"/>
    <col min="258" max="258" width="14.53515625" style="35" customWidth="1"/>
    <col min="259" max="260" width="16.23046875" style="35" customWidth="1"/>
    <col min="261" max="261" width="13.84375" style="35" customWidth="1"/>
    <col min="262" max="266" width="16.15234375" style="35" customWidth="1"/>
    <col min="267" max="267" width="14.4609375" style="35" customWidth="1"/>
    <col min="268" max="268" width="10.15234375" style="35" customWidth="1"/>
    <col min="269" max="269" width="14.4609375" style="35" customWidth="1"/>
    <col min="270" max="271" width="18.84375" style="35" customWidth="1"/>
    <col min="272" max="272" width="14.69140625" style="35" customWidth="1"/>
    <col min="273" max="273" width="9.23046875" style="35" customWidth="1"/>
    <col min="274" max="497" width="8.84375" style="35"/>
    <col min="498" max="498" width="17.4609375" style="35" customWidth="1"/>
    <col min="499" max="499" width="30.69140625" style="35" customWidth="1"/>
    <col min="500" max="500" width="24.53515625" style="35" customWidth="1"/>
    <col min="501" max="501" width="30.53515625" style="35" customWidth="1"/>
    <col min="502" max="502" width="27.15234375" style="35" customWidth="1"/>
    <col min="503" max="503" width="34" style="35" customWidth="1"/>
    <col min="504" max="504" width="31.4609375" style="35" customWidth="1"/>
    <col min="505" max="505" width="82.15234375" style="35" customWidth="1"/>
    <col min="506" max="506" width="23.15234375" style="35" customWidth="1"/>
    <col min="507" max="507" width="14.69140625" style="35" customWidth="1"/>
    <col min="508" max="508" width="10.15234375" style="35" customWidth="1"/>
    <col min="509" max="509" width="15.84375" style="35" customWidth="1"/>
    <col min="510" max="510" width="9.84375" style="35" customWidth="1"/>
    <col min="511" max="511" width="14" style="35" customWidth="1"/>
    <col min="512" max="512" width="14.53515625" style="35" customWidth="1"/>
    <col min="513" max="513" width="9.53515625" style="35" customWidth="1"/>
    <col min="514" max="514" width="14.53515625" style="35" customWidth="1"/>
    <col min="515" max="516" width="16.23046875" style="35" customWidth="1"/>
    <col min="517" max="517" width="13.84375" style="35" customWidth="1"/>
    <col min="518" max="522" width="16.15234375" style="35" customWidth="1"/>
    <col min="523" max="523" width="14.4609375" style="35" customWidth="1"/>
    <col min="524" max="524" width="10.15234375" style="35" customWidth="1"/>
    <col min="525" max="525" width="14.4609375" style="35" customWidth="1"/>
    <col min="526" max="527" width="18.84375" style="35" customWidth="1"/>
    <col min="528" max="528" width="14.69140625" style="35" customWidth="1"/>
    <col min="529" max="529" width="9.23046875" style="35" customWidth="1"/>
    <col min="530" max="753" width="8.84375" style="35"/>
    <col min="754" max="754" width="17.4609375" style="35" customWidth="1"/>
    <col min="755" max="755" width="30.69140625" style="35" customWidth="1"/>
    <col min="756" max="756" width="24.53515625" style="35" customWidth="1"/>
    <col min="757" max="757" width="30.53515625" style="35" customWidth="1"/>
    <col min="758" max="758" width="27.15234375" style="35" customWidth="1"/>
    <col min="759" max="759" width="34" style="35" customWidth="1"/>
    <col min="760" max="760" width="31.4609375" style="35" customWidth="1"/>
    <col min="761" max="761" width="82.15234375" style="35" customWidth="1"/>
    <col min="762" max="762" width="23.15234375" style="35" customWidth="1"/>
    <col min="763" max="763" width="14.69140625" style="35" customWidth="1"/>
    <col min="764" max="764" width="10.15234375" style="35" customWidth="1"/>
    <col min="765" max="765" width="15.84375" style="35" customWidth="1"/>
    <col min="766" max="766" width="9.84375" style="35" customWidth="1"/>
    <col min="767" max="767" width="14" style="35" customWidth="1"/>
    <col min="768" max="768" width="14.53515625" style="35" customWidth="1"/>
    <col min="769" max="769" width="9.53515625" style="35" customWidth="1"/>
    <col min="770" max="770" width="14.53515625" style="35" customWidth="1"/>
    <col min="771" max="772" width="16.23046875" style="35" customWidth="1"/>
    <col min="773" max="773" width="13.84375" style="35" customWidth="1"/>
    <col min="774" max="778" width="16.15234375" style="35" customWidth="1"/>
    <col min="779" max="779" width="14.4609375" style="35" customWidth="1"/>
    <col min="780" max="780" width="10.15234375" style="35" customWidth="1"/>
    <col min="781" max="781" width="14.4609375" style="35" customWidth="1"/>
    <col min="782" max="783" width="18.84375" style="35" customWidth="1"/>
    <col min="784" max="784" width="14.69140625" style="35" customWidth="1"/>
    <col min="785" max="785" width="9.23046875" style="35" customWidth="1"/>
    <col min="786" max="1009" width="8.84375" style="35"/>
    <col min="1010" max="1010" width="17.4609375" style="35" customWidth="1"/>
    <col min="1011" max="1011" width="30.69140625" style="35" customWidth="1"/>
    <col min="1012" max="1012" width="24.53515625" style="35" customWidth="1"/>
    <col min="1013" max="1013" width="30.53515625" style="35" customWidth="1"/>
    <col min="1014" max="1014" width="27.15234375" style="35" customWidth="1"/>
    <col min="1015" max="1015" width="34" style="35" customWidth="1"/>
    <col min="1016" max="1016" width="31.4609375" style="35" customWidth="1"/>
    <col min="1017" max="1017" width="82.15234375" style="35" customWidth="1"/>
    <col min="1018" max="1018" width="23.15234375" style="35" customWidth="1"/>
    <col min="1019" max="1019" width="14.69140625" style="35" customWidth="1"/>
    <col min="1020" max="1020" width="10.15234375" style="35" customWidth="1"/>
    <col min="1021" max="1021" width="15.84375" style="35" customWidth="1"/>
    <col min="1022" max="1022" width="9.84375" style="35" customWidth="1"/>
    <col min="1023" max="1023" width="14" style="35" customWidth="1"/>
    <col min="1024" max="1024" width="14.53515625" style="35" customWidth="1"/>
    <col min="1025" max="1025" width="9.53515625" style="35" customWidth="1"/>
    <col min="1026" max="1026" width="14.53515625" style="35" customWidth="1"/>
    <col min="1027" max="1028" width="16.23046875" style="35" customWidth="1"/>
    <col min="1029" max="1029" width="13.84375" style="35" customWidth="1"/>
    <col min="1030" max="1034" width="16.15234375" style="35" customWidth="1"/>
    <col min="1035" max="1035" width="14.4609375" style="35" customWidth="1"/>
    <col min="1036" max="1036" width="10.15234375" style="35" customWidth="1"/>
    <col min="1037" max="1037" width="14.4609375" style="35" customWidth="1"/>
    <col min="1038" max="1039" width="18.84375" style="35" customWidth="1"/>
    <col min="1040" max="1040" width="14.69140625" style="35" customWidth="1"/>
    <col min="1041" max="1041" width="9.23046875" style="35" customWidth="1"/>
    <col min="1042" max="1265" width="8.84375" style="35"/>
    <col min="1266" max="1266" width="17.4609375" style="35" customWidth="1"/>
    <col min="1267" max="1267" width="30.69140625" style="35" customWidth="1"/>
    <col min="1268" max="1268" width="24.53515625" style="35" customWidth="1"/>
    <col min="1269" max="1269" width="30.53515625" style="35" customWidth="1"/>
    <col min="1270" max="1270" width="27.15234375" style="35" customWidth="1"/>
    <col min="1271" max="1271" width="34" style="35" customWidth="1"/>
    <col min="1272" max="1272" width="31.4609375" style="35" customWidth="1"/>
    <col min="1273" max="1273" width="82.15234375" style="35" customWidth="1"/>
    <col min="1274" max="1274" width="23.15234375" style="35" customWidth="1"/>
    <col min="1275" max="1275" width="14.69140625" style="35" customWidth="1"/>
    <col min="1276" max="1276" width="10.15234375" style="35" customWidth="1"/>
    <col min="1277" max="1277" width="15.84375" style="35" customWidth="1"/>
    <col min="1278" max="1278" width="9.84375" style="35" customWidth="1"/>
    <col min="1279" max="1279" width="14" style="35" customWidth="1"/>
    <col min="1280" max="1280" width="14.53515625" style="35" customWidth="1"/>
    <col min="1281" max="1281" width="9.53515625" style="35" customWidth="1"/>
    <col min="1282" max="1282" width="14.53515625" style="35" customWidth="1"/>
    <col min="1283" max="1284" width="16.23046875" style="35" customWidth="1"/>
    <col min="1285" max="1285" width="13.84375" style="35" customWidth="1"/>
    <col min="1286" max="1290" width="16.15234375" style="35" customWidth="1"/>
    <col min="1291" max="1291" width="14.4609375" style="35" customWidth="1"/>
    <col min="1292" max="1292" width="10.15234375" style="35" customWidth="1"/>
    <col min="1293" max="1293" width="14.4609375" style="35" customWidth="1"/>
    <col min="1294" max="1295" width="18.84375" style="35" customWidth="1"/>
    <col min="1296" max="1296" width="14.69140625" style="35" customWidth="1"/>
    <col min="1297" max="1297" width="9.23046875" style="35" customWidth="1"/>
    <col min="1298" max="1521" width="8.84375" style="35"/>
    <col min="1522" max="1522" width="17.4609375" style="35" customWidth="1"/>
    <col min="1523" max="1523" width="30.69140625" style="35" customWidth="1"/>
    <col min="1524" max="1524" width="24.53515625" style="35" customWidth="1"/>
    <col min="1525" max="1525" width="30.53515625" style="35" customWidth="1"/>
    <col min="1526" max="1526" width="27.15234375" style="35" customWidth="1"/>
    <col min="1527" max="1527" width="34" style="35" customWidth="1"/>
    <col min="1528" max="1528" width="31.4609375" style="35" customWidth="1"/>
    <col min="1529" max="1529" width="82.15234375" style="35" customWidth="1"/>
    <col min="1530" max="1530" width="23.15234375" style="35" customWidth="1"/>
    <col min="1531" max="1531" width="14.69140625" style="35" customWidth="1"/>
    <col min="1532" max="1532" width="10.15234375" style="35" customWidth="1"/>
    <col min="1533" max="1533" width="15.84375" style="35" customWidth="1"/>
    <col min="1534" max="1534" width="9.84375" style="35" customWidth="1"/>
    <col min="1535" max="1535" width="14" style="35" customWidth="1"/>
    <col min="1536" max="1536" width="14.53515625" style="35" customWidth="1"/>
    <col min="1537" max="1537" width="9.53515625" style="35" customWidth="1"/>
    <col min="1538" max="1538" width="14.53515625" style="35" customWidth="1"/>
    <col min="1539" max="1540" width="16.23046875" style="35" customWidth="1"/>
    <col min="1541" max="1541" width="13.84375" style="35" customWidth="1"/>
    <col min="1542" max="1546" width="16.15234375" style="35" customWidth="1"/>
    <col min="1547" max="1547" width="14.4609375" style="35" customWidth="1"/>
    <col min="1548" max="1548" width="10.15234375" style="35" customWidth="1"/>
    <col min="1549" max="1549" width="14.4609375" style="35" customWidth="1"/>
    <col min="1550" max="1551" width="18.84375" style="35" customWidth="1"/>
    <col min="1552" max="1552" width="14.69140625" style="35" customWidth="1"/>
    <col min="1553" max="1553" width="9.23046875" style="35" customWidth="1"/>
    <col min="1554" max="1777" width="8.84375" style="35"/>
    <col min="1778" max="1778" width="17.4609375" style="35" customWidth="1"/>
    <col min="1779" max="1779" width="30.69140625" style="35" customWidth="1"/>
    <col min="1780" max="1780" width="24.53515625" style="35" customWidth="1"/>
    <col min="1781" max="1781" width="30.53515625" style="35" customWidth="1"/>
    <col min="1782" max="1782" width="27.15234375" style="35" customWidth="1"/>
    <col min="1783" max="1783" width="34" style="35" customWidth="1"/>
    <col min="1784" max="1784" width="31.4609375" style="35" customWidth="1"/>
    <col min="1785" max="1785" width="82.15234375" style="35" customWidth="1"/>
    <col min="1786" max="1786" width="23.15234375" style="35" customWidth="1"/>
    <col min="1787" max="1787" width="14.69140625" style="35" customWidth="1"/>
    <col min="1788" max="1788" width="10.15234375" style="35" customWidth="1"/>
    <col min="1789" max="1789" width="15.84375" style="35" customWidth="1"/>
    <col min="1790" max="1790" width="9.84375" style="35" customWidth="1"/>
    <col min="1791" max="1791" width="14" style="35" customWidth="1"/>
    <col min="1792" max="1792" width="14.53515625" style="35" customWidth="1"/>
    <col min="1793" max="1793" width="9.53515625" style="35" customWidth="1"/>
    <col min="1794" max="1794" width="14.53515625" style="35" customWidth="1"/>
    <col min="1795" max="1796" width="16.23046875" style="35" customWidth="1"/>
    <col min="1797" max="1797" width="13.84375" style="35" customWidth="1"/>
    <col min="1798" max="1802" width="16.15234375" style="35" customWidth="1"/>
    <col min="1803" max="1803" width="14.4609375" style="35" customWidth="1"/>
    <col min="1804" max="1804" width="10.15234375" style="35" customWidth="1"/>
    <col min="1805" max="1805" width="14.4609375" style="35" customWidth="1"/>
    <col min="1806" max="1807" width="18.84375" style="35" customWidth="1"/>
    <col min="1808" max="1808" width="14.69140625" style="35" customWidth="1"/>
    <col min="1809" max="1809" width="9.23046875" style="35" customWidth="1"/>
    <col min="1810" max="2033" width="8.84375" style="35"/>
    <col min="2034" max="2034" width="17.4609375" style="35" customWidth="1"/>
    <col min="2035" max="2035" width="30.69140625" style="35" customWidth="1"/>
    <col min="2036" max="2036" width="24.53515625" style="35" customWidth="1"/>
    <col min="2037" max="2037" width="30.53515625" style="35" customWidth="1"/>
    <col min="2038" max="2038" width="27.15234375" style="35" customWidth="1"/>
    <col min="2039" max="2039" width="34" style="35" customWidth="1"/>
    <col min="2040" max="2040" width="31.4609375" style="35" customWidth="1"/>
    <col min="2041" max="2041" width="82.15234375" style="35" customWidth="1"/>
    <col min="2042" max="2042" width="23.15234375" style="35" customWidth="1"/>
    <col min="2043" max="2043" width="14.69140625" style="35" customWidth="1"/>
    <col min="2044" max="2044" width="10.15234375" style="35" customWidth="1"/>
    <col min="2045" max="2045" width="15.84375" style="35" customWidth="1"/>
    <col min="2046" max="2046" width="9.84375" style="35" customWidth="1"/>
    <col min="2047" max="2047" width="14" style="35" customWidth="1"/>
    <col min="2048" max="2048" width="14.53515625" style="35" customWidth="1"/>
    <col min="2049" max="2049" width="9.53515625" style="35" customWidth="1"/>
    <col min="2050" max="2050" width="14.53515625" style="35" customWidth="1"/>
    <col min="2051" max="2052" width="16.23046875" style="35" customWidth="1"/>
    <col min="2053" max="2053" width="13.84375" style="35" customWidth="1"/>
    <col min="2054" max="2058" width="16.15234375" style="35" customWidth="1"/>
    <col min="2059" max="2059" width="14.4609375" style="35" customWidth="1"/>
    <col min="2060" max="2060" width="10.15234375" style="35" customWidth="1"/>
    <col min="2061" max="2061" width="14.4609375" style="35" customWidth="1"/>
    <col min="2062" max="2063" width="18.84375" style="35" customWidth="1"/>
    <col min="2064" max="2064" width="14.69140625" style="35" customWidth="1"/>
    <col min="2065" max="2065" width="9.23046875" style="35" customWidth="1"/>
    <col min="2066" max="2289" width="8.84375" style="35"/>
    <col min="2290" max="2290" width="17.4609375" style="35" customWidth="1"/>
    <col min="2291" max="2291" width="30.69140625" style="35" customWidth="1"/>
    <col min="2292" max="2292" width="24.53515625" style="35" customWidth="1"/>
    <col min="2293" max="2293" width="30.53515625" style="35" customWidth="1"/>
    <col min="2294" max="2294" width="27.15234375" style="35" customWidth="1"/>
    <col min="2295" max="2295" width="34" style="35" customWidth="1"/>
    <col min="2296" max="2296" width="31.4609375" style="35" customWidth="1"/>
    <col min="2297" max="2297" width="82.15234375" style="35" customWidth="1"/>
    <col min="2298" max="2298" width="23.15234375" style="35" customWidth="1"/>
    <col min="2299" max="2299" width="14.69140625" style="35" customWidth="1"/>
    <col min="2300" max="2300" width="10.15234375" style="35" customWidth="1"/>
    <col min="2301" max="2301" width="15.84375" style="35" customWidth="1"/>
    <col min="2302" max="2302" width="9.84375" style="35" customWidth="1"/>
    <col min="2303" max="2303" width="14" style="35" customWidth="1"/>
    <col min="2304" max="2304" width="14.53515625" style="35" customWidth="1"/>
    <col min="2305" max="2305" width="9.53515625" style="35" customWidth="1"/>
    <col min="2306" max="2306" width="14.53515625" style="35" customWidth="1"/>
    <col min="2307" max="2308" width="16.23046875" style="35" customWidth="1"/>
    <col min="2309" max="2309" width="13.84375" style="35" customWidth="1"/>
    <col min="2310" max="2314" width="16.15234375" style="35" customWidth="1"/>
    <col min="2315" max="2315" width="14.4609375" style="35" customWidth="1"/>
    <col min="2316" max="2316" width="10.15234375" style="35" customWidth="1"/>
    <col min="2317" max="2317" width="14.4609375" style="35" customWidth="1"/>
    <col min="2318" max="2319" width="18.84375" style="35" customWidth="1"/>
    <col min="2320" max="2320" width="14.69140625" style="35" customWidth="1"/>
    <col min="2321" max="2321" width="9.23046875" style="35" customWidth="1"/>
    <col min="2322" max="2545" width="8.84375" style="35"/>
    <col min="2546" max="2546" width="17.4609375" style="35" customWidth="1"/>
    <col min="2547" max="2547" width="30.69140625" style="35" customWidth="1"/>
    <col min="2548" max="2548" width="24.53515625" style="35" customWidth="1"/>
    <col min="2549" max="2549" width="30.53515625" style="35" customWidth="1"/>
    <col min="2550" max="2550" width="27.15234375" style="35" customWidth="1"/>
    <col min="2551" max="2551" width="34" style="35" customWidth="1"/>
    <col min="2552" max="2552" width="31.4609375" style="35" customWidth="1"/>
    <col min="2553" max="2553" width="82.15234375" style="35" customWidth="1"/>
    <col min="2554" max="2554" width="23.15234375" style="35" customWidth="1"/>
    <col min="2555" max="2555" width="14.69140625" style="35" customWidth="1"/>
    <col min="2556" max="2556" width="10.15234375" style="35" customWidth="1"/>
    <col min="2557" max="2557" width="15.84375" style="35" customWidth="1"/>
    <col min="2558" max="2558" width="9.84375" style="35" customWidth="1"/>
    <col min="2559" max="2559" width="14" style="35" customWidth="1"/>
    <col min="2560" max="2560" width="14.53515625" style="35" customWidth="1"/>
    <col min="2561" max="2561" width="9.53515625" style="35" customWidth="1"/>
    <col min="2562" max="2562" width="14.53515625" style="35" customWidth="1"/>
    <col min="2563" max="2564" width="16.23046875" style="35" customWidth="1"/>
    <col min="2565" max="2565" width="13.84375" style="35" customWidth="1"/>
    <col min="2566" max="2570" width="16.15234375" style="35" customWidth="1"/>
    <col min="2571" max="2571" width="14.4609375" style="35" customWidth="1"/>
    <col min="2572" max="2572" width="10.15234375" style="35" customWidth="1"/>
    <col min="2573" max="2573" width="14.4609375" style="35" customWidth="1"/>
    <col min="2574" max="2575" width="18.84375" style="35" customWidth="1"/>
    <col min="2576" max="2576" width="14.69140625" style="35" customWidth="1"/>
    <col min="2577" max="2577" width="9.23046875" style="35" customWidth="1"/>
    <col min="2578" max="2801" width="8.84375" style="35"/>
    <col min="2802" max="2802" width="17.4609375" style="35" customWidth="1"/>
    <col min="2803" max="2803" width="30.69140625" style="35" customWidth="1"/>
    <col min="2804" max="2804" width="24.53515625" style="35" customWidth="1"/>
    <col min="2805" max="2805" width="30.53515625" style="35" customWidth="1"/>
    <col min="2806" max="2806" width="27.15234375" style="35" customWidth="1"/>
    <col min="2807" max="2807" width="34" style="35" customWidth="1"/>
    <col min="2808" max="2808" width="31.4609375" style="35" customWidth="1"/>
    <col min="2809" max="2809" width="82.15234375" style="35" customWidth="1"/>
    <col min="2810" max="2810" width="23.15234375" style="35" customWidth="1"/>
    <col min="2811" max="2811" width="14.69140625" style="35" customWidth="1"/>
    <col min="2812" max="2812" width="10.15234375" style="35" customWidth="1"/>
    <col min="2813" max="2813" width="15.84375" style="35" customWidth="1"/>
    <col min="2814" max="2814" width="9.84375" style="35" customWidth="1"/>
    <col min="2815" max="2815" width="14" style="35" customWidth="1"/>
    <col min="2816" max="2816" width="14.53515625" style="35" customWidth="1"/>
    <col min="2817" max="2817" width="9.53515625" style="35" customWidth="1"/>
    <col min="2818" max="2818" width="14.53515625" style="35" customWidth="1"/>
    <col min="2819" max="2820" width="16.23046875" style="35" customWidth="1"/>
    <col min="2821" max="2821" width="13.84375" style="35" customWidth="1"/>
    <col min="2822" max="2826" width="16.15234375" style="35" customWidth="1"/>
    <col min="2827" max="2827" width="14.4609375" style="35" customWidth="1"/>
    <col min="2828" max="2828" width="10.15234375" style="35" customWidth="1"/>
    <col min="2829" max="2829" width="14.4609375" style="35" customWidth="1"/>
    <col min="2830" max="2831" width="18.84375" style="35" customWidth="1"/>
    <col min="2832" max="2832" width="14.69140625" style="35" customWidth="1"/>
    <col min="2833" max="2833" width="9.23046875" style="35" customWidth="1"/>
    <col min="2834" max="3057" width="8.84375" style="35"/>
    <col min="3058" max="3058" width="17.4609375" style="35" customWidth="1"/>
    <col min="3059" max="3059" width="30.69140625" style="35" customWidth="1"/>
    <col min="3060" max="3060" width="24.53515625" style="35" customWidth="1"/>
    <col min="3061" max="3061" width="30.53515625" style="35" customWidth="1"/>
    <col min="3062" max="3062" width="27.15234375" style="35" customWidth="1"/>
    <col min="3063" max="3063" width="34" style="35" customWidth="1"/>
    <col min="3064" max="3064" width="31.4609375" style="35" customWidth="1"/>
    <col min="3065" max="3065" width="82.15234375" style="35" customWidth="1"/>
    <col min="3066" max="3066" width="23.15234375" style="35" customWidth="1"/>
    <col min="3067" max="3067" width="14.69140625" style="35" customWidth="1"/>
    <col min="3068" max="3068" width="10.15234375" style="35" customWidth="1"/>
    <col min="3069" max="3069" width="15.84375" style="35" customWidth="1"/>
    <col min="3070" max="3070" width="9.84375" style="35" customWidth="1"/>
    <col min="3071" max="3071" width="14" style="35" customWidth="1"/>
    <col min="3072" max="3072" width="14.53515625" style="35" customWidth="1"/>
    <col min="3073" max="3073" width="9.53515625" style="35" customWidth="1"/>
    <col min="3074" max="3074" width="14.53515625" style="35" customWidth="1"/>
    <col min="3075" max="3076" width="16.23046875" style="35" customWidth="1"/>
    <col min="3077" max="3077" width="13.84375" style="35" customWidth="1"/>
    <col min="3078" max="3082" width="16.15234375" style="35" customWidth="1"/>
    <col min="3083" max="3083" width="14.4609375" style="35" customWidth="1"/>
    <col min="3084" max="3084" width="10.15234375" style="35" customWidth="1"/>
    <col min="3085" max="3085" width="14.4609375" style="35" customWidth="1"/>
    <col min="3086" max="3087" width="18.84375" style="35" customWidth="1"/>
    <col min="3088" max="3088" width="14.69140625" style="35" customWidth="1"/>
    <col min="3089" max="3089" width="9.23046875" style="35" customWidth="1"/>
    <col min="3090" max="3313" width="8.84375" style="35"/>
    <col min="3314" max="3314" width="17.4609375" style="35" customWidth="1"/>
    <col min="3315" max="3315" width="30.69140625" style="35" customWidth="1"/>
    <col min="3316" max="3316" width="24.53515625" style="35" customWidth="1"/>
    <col min="3317" max="3317" width="30.53515625" style="35" customWidth="1"/>
    <col min="3318" max="3318" width="27.15234375" style="35" customWidth="1"/>
    <col min="3319" max="3319" width="34" style="35" customWidth="1"/>
    <col min="3320" max="3320" width="31.4609375" style="35" customWidth="1"/>
    <col min="3321" max="3321" width="82.15234375" style="35" customWidth="1"/>
    <col min="3322" max="3322" width="23.15234375" style="35" customWidth="1"/>
    <col min="3323" max="3323" width="14.69140625" style="35" customWidth="1"/>
    <col min="3324" max="3324" width="10.15234375" style="35" customWidth="1"/>
    <col min="3325" max="3325" width="15.84375" style="35" customWidth="1"/>
    <col min="3326" max="3326" width="9.84375" style="35" customWidth="1"/>
    <col min="3327" max="3327" width="14" style="35" customWidth="1"/>
    <col min="3328" max="3328" width="14.53515625" style="35" customWidth="1"/>
    <col min="3329" max="3329" width="9.53515625" style="35" customWidth="1"/>
    <col min="3330" max="3330" width="14.53515625" style="35" customWidth="1"/>
    <col min="3331" max="3332" width="16.23046875" style="35" customWidth="1"/>
    <col min="3333" max="3333" width="13.84375" style="35" customWidth="1"/>
    <col min="3334" max="3338" width="16.15234375" style="35" customWidth="1"/>
    <col min="3339" max="3339" width="14.4609375" style="35" customWidth="1"/>
    <col min="3340" max="3340" width="10.15234375" style="35" customWidth="1"/>
    <col min="3341" max="3341" width="14.4609375" style="35" customWidth="1"/>
    <col min="3342" max="3343" width="18.84375" style="35" customWidth="1"/>
    <col min="3344" max="3344" width="14.69140625" style="35" customWidth="1"/>
    <col min="3345" max="3345" width="9.23046875" style="35" customWidth="1"/>
    <col min="3346" max="3569" width="8.84375" style="35"/>
    <col min="3570" max="3570" width="17.4609375" style="35" customWidth="1"/>
    <col min="3571" max="3571" width="30.69140625" style="35" customWidth="1"/>
    <col min="3572" max="3572" width="24.53515625" style="35" customWidth="1"/>
    <col min="3573" max="3573" width="30.53515625" style="35" customWidth="1"/>
    <col min="3574" max="3574" width="27.15234375" style="35" customWidth="1"/>
    <col min="3575" max="3575" width="34" style="35" customWidth="1"/>
    <col min="3576" max="3576" width="31.4609375" style="35" customWidth="1"/>
    <col min="3577" max="3577" width="82.15234375" style="35" customWidth="1"/>
    <col min="3578" max="3578" width="23.15234375" style="35" customWidth="1"/>
    <col min="3579" max="3579" width="14.69140625" style="35" customWidth="1"/>
    <col min="3580" max="3580" width="10.15234375" style="35" customWidth="1"/>
    <col min="3581" max="3581" width="15.84375" style="35" customWidth="1"/>
    <col min="3582" max="3582" width="9.84375" style="35" customWidth="1"/>
    <col min="3583" max="3583" width="14" style="35" customWidth="1"/>
    <col min="3584" max="3584" width="14.53515625" style="35" customWidth="1"/>
    <col min="3585" max="3585" width="9.53515625" style="35" customWidth="1"/>
    <col min="3586" max="3586" width="14.53515625" style="35" customWidth="1"/>
    <col min="3587" max="3588" width="16.23046875" style="35" customWidth="1"/>
    <col min="3589" max="3589" width="13.84375" style="35" customWidth="1"/>
    <col min="3590" max="3594" width="16.15234375" style="35" customWidth="1"/>
    <col min="3595" max="3595" width="14.4609375" style="35" customWidth="1"/>
    <col min="3596" max="3596" width="10.15234375" style="35" customWidth="1"/>
    <col min="3597" max="3597" width="14.4609375" style="35" customWidth="1"/>
    <col min="3598" max="3599" width="18.84375" style="35" customWidth="1"/>
    <col min="3600" max="3600" width="14.69140625" style="35" customWidth="1"/>
    <col min="3601" max="3601" width="9.23046875" style="35" customWidth="1"/>
    <col min="3602" max="3825" width="8.84375" style="35"/>
    <col min="3826" max="3826" width="17.4609375" style="35" customWidth="1"/>
    <col min="3827" max="3827" width="30.69140625" style="35" customWidth="1"/>
    <col min="3828" max="3828" width="24.53515625" style="35" customWidth="1"/>
    <col min="3829" max="3829" width="30.53515625" style="35" customWidth="1"/>
    <col min="3830" max="3830" width="27.15234375" style="35" customWidth="1"/>
    <col min="3831" max="3831" width="34" style="35" customWidth="1"/>
    <col min="3832" max="3832" width="31.4609375" style="35" customWidth="1"/>
    <col min="3833" max="3833" width="82.15234375" style="35" customWidth="1"/>
    <col min="3834" max="3834" width="23.15234375" style="35" customWidth="1"/>
    <col min="3835" max="3835" width="14.69140625" style="35" customWidth="1"/>
    <col min="3836" max="3836" width="10.15234375" style="35" customWidth="1"/>
    <col min="3837" max="3837" width="15.84375" style="35" customWidth="1"/>
    <col min="3838" max="3838" width="9.84375" style="35" customWidth="1"/>
    <col min="3839" max="3839" width="14" style="35" customWidth="1"/>
    <col min="3840" max="3840" width="14.53515625" style="35" customWidth="1"/>
    <col min="3841" max="3841" width="9.53515625" style="35" customWidth="1"/>
    <col min="3842" max="3842" width="14.53515625" style="35" customWidth="1"/>
    <col min="3843" max="3844" width="16.23046875" style="35" customWidth="1"/>
    <col min="3845" max="3845" width="13.84375" style="35" customWidth="1"/>
    <col min="3846" max="3850" width="16.15234375" style="35" customWidth="1"/>
    <col min="3851" max="3851" width="14.4609375" style="35" customWidth="1"/>
    <col min="3852" max="3852" width="10.15234375" style="35" customWidth="1"/>
    <col min="3853" max="3853" width="14.4609375" style="35" customWidth="1"/>
    <col min="3854" max="3855" width="18.84375" style="35" customWidth="1"/>
    <col min="3856" max="3856" width="14.69140625" style="35" customWidth="1"/>
    <col min="3857" max="3857" width="9.23046875" style="35" customWidth="1"/>
    <col min="3858" max="4081" width="8.84375" style="35"/>
    <col min="4082" max="4082" width="17.4609375" style="35" customWidth="1"/>
    <col min="4083" max="4083" width="30.69140625" style="35" customWidth="1"/>
    <col min="4084" max="4084" width="24.53515625" style="35" customWidth="1"/>
    <col min="4085" max="4085" width="30.53515625" style="35" customWidth="1"/>
    <col min="4086" max="4086" width="27.15234375" style="35" customWidth="1"/>
    <col min="4087" max="4087" width="34" style="35" customWidth="1"/>
    <col min="4088" max="4088" width="31.4609375" style="35" customWidth="1"/>
    <col min="4089" max="4089" width="82.15234375" style="35" customWidth="1"/>
    <col min="4090" max="4090" width="23.15234375" style="35" customWidth="1"/>
    <col min="4091" max="4091" width="14.69140625" style="35" customWidth="1"/>
    <col min="4092" max="4092" width="10.15234375" style="35" customWidth="1"/>
    <col min="4093" max="4093" width="15.84375" style="35" customWidth="1"/>
    <col min="4094" max="4094" width="9.84375" style="35" customWidth="1"/>
    <col min="4095" max="4095" width="14" style="35" customWidth="1"/>
    <col min="4096" max="4096" width="14.53515625" style="35" customWidth="1"/>
    <col min="4097" max="4097" width="9.53515625" style="35" customWidth="1"/>
    <col min="4098" max="4098" width="14.53515625" style="35" customWidth="1"/>
    <col min="4099" max="4100" width="16.23046875" style="35" customWidth="1"/>
    <col min="4101" max="4101" width="13.84375" style="35" customWidth="1"/>
    <col min="4102" max="4106" width="16.15234375" style="35" customWidth="1"/>
    <col min="4107" max="4107" width="14.4609375" style="35" customWidth="1"/>
    <col min="4108" max="4108" width="10.15234375" style="35" customWidth="1"/>
    <col min="4109" max="4109" width="14.4609375" style="35" customWidth="1"/>
    <col min="4110" max="4111" width="18.84375" style="35" customWidth="1"/>
    <col min="4112" max="4112" width="14.69140625" style="35" customWidth="1"/>
    <col min="4113" max="4113" width="9.23046875" style="35" customWidth="1"/>
    <col min="4114" max="4337" width="8.84375" style="35"/>
    <col min="4338" max="4338" width="17.4609375" style="35" customWidth="1"/>
    <col min="4339" max="4339" width="30.69140625" style="35" customWidth="1"/>
    <col min="4340" max="4340" width="24.53515625" style="35" customWidth="1"/>
    <col min="4341" max="4341" width="30.53515625" style="35" customWidth="1"/>
    <col min="4342" max="4342" width="27.15234375" style="35" customWidth="1"/>
    <col min="4343" max="4343" width="34" style="35" customWidth="1"/>
    <col min="4344" max="4344" width="31.4609375" style="35" customWidth="1"/>
    <col min="4345" max="4345" width="82.15234375" style="35" customWidth="1"/>
    <col min="4346" max="4346" width="23.15234375" style="35" customWidth="1"/>
    <col min="4347" max="4347" width="14.69140625" style="35" customWidth="1"/>
    <col min="4348" max="4348" width="10.15234375" style="35" customWidth="1"/>
    <col min="4349" max="4349" width="15.84375" style="35" customWidth="1"/>
    <col min="4350" max="4350" width="9.84375" style="35" customWidth="1"/>
    <col min="4351" max="4351" width="14" style="35" customWidth="1"/>
    <col min="4352" max="4352" width="14.53515625" style="35" customWidth="1"/>
    <col min="4353" max="4353" width="9.53515625" style="35" customWidth="1"/>
    <col min="4354" max="4354" width="14.53515625" style="35" customWidth="1"/>
    <col min="4355" max="4356" width="16.23046875" style="35" customWidth="1"/>
    <col min="4357" max="4357" width="13.84375" style="35" customWidth="1"/>
    <col min="4358" max="4362" width="16.15234375" style="35" customWidth="1"/>
    <col min="4363" max="4363" width="14.4609375" style="35" customWidth="1"/>
    <col min="4364" max="4364" width="10.15234375" style="35" customWidth="1"/>
    <col min="4365" max="4365" width="14.4609375" style="35" customWidth="1"/>
    <col min="4366" max="4367" width="18.84375" style="35" customWidth="1"/>
    <col min="4368" max="4368" width="14.69140625" style="35" customWidth="1"/>
    <col min="4369" max="4369" width="9.23046875" style="35" customWidth="1"/>
    <col min="4370" max="4593" width="8.84375" style="35"/>
    <col min="4594" max="4594" width="17.4609375" style="35" customWidth="1"/>
    <col min="4595" max="4595" width="30.69140625" style="35" customWidth="1"/>
    <col min="4596" max="4596" width="24.53515625" style="35" customWidth="1"/>
    <col min="4597" max="4597" width="30.53515625" style="35" customWidth="1"/>
    <col min="4598" max="4598" width="27.15234375" style="35" customWidth="1"/>
    <col min="4599" max="4599" width="34" style="35" customWidth="1"/>
    <col min="4600" max="4600" width="31.4609375" style="35" customWidth="1"/>
    <col min="4601" max="4601" width="82.15234375" style="35" customWidth="1"/>
    <col min="4602" max="4602" width="23.15234375" style="35" customWidth="1"/>
    <col min="4603" max="4603" width="14.69140625" style="35" customWidth="1"/>
    <col min="4604" max="4604" width="10.15234375" style="35" customWidth="1"/>
    <col min="4605" max="4605" width="15.84375" style="35" customWidth="1"/>
    <col min="4606" max="4606" width="9.84375" style="35" customWidth="1"/>
    <col min="4607" max="4607" width="14" style="35" customWidth="1"/>
    <col min="4608" max="4608" width="14.53515625" style="35" customWidth="1"/>
    <col min="4609" max="4609" width="9.53515625" style="35" customWidth="1"/>
    <col min="4610" max="4610" width="14.53515625" style="35" customWidth="1"/>
    <col min="4611" max="4612" width="16.23046875" style="35" customWidth="1"/>
    <col min="4613" max="4613" width="13.84375" style="35" customWidth="1"/>
    <col min="4614" max="4618" width="16.15234375" style="35" customWidth="1"/>
    <col min="4619" max="4619" width="14.4609375" style="35" customWidth="1"/>
    <col min="4620" max="4620" width="10.15234375" style="35" customWidth="1"/>
    <col min="4621" max="4621" width="14.4609375" style="35" customWidth="1"/>
    <col min="4622" max="4623" width="18.84375" style="35" customWidth="1"/>
    <col min="4624" max="4624" width="14.69140625" style="35" customWidth="1"/>
    <col min="4625" max="4625" width="9.23046875" style="35" customWidth="1"/>
    <col min="4626" max="4849" width="8.84375" style="35"/>
    <col min="4850" max="4850" width="17.4609375" style="35" customWidth="1"/>
    <col min="4851" max="4851" width="30.69140625" style="35" customWidth="1"/>
    <col min="4852" max="4852" width="24.53515625" style="35" customWidth="1"/>
    <col min="4853" max="4853" width="30.53515625" style="35" customWidth="1"/>
    <col min="4854" max="4854" width="27.15234375" style="35" customWidth="1"/>
    <col min="4855" max="4855" width="34" style="35" customWidth="1"/>
    <col min="4856" max="4856" width="31.4609375" style="35" customWidth="1"/>
    <col min="4857" max="4857" width="82.15234375" style="35" customWidth="1"/>
    <col min="4858" max="4858" width="23.15234375" style="35" customWidth="1"/>
    <col min="4859" max="4859" width="14.69140625" style="35" customWidth="1"/>
    <col min="4860" max="4860" width="10.15234375" style="35" customWidth="1"/>
    <col min="4861" max="4861" width="15.84375" style="35" customWidth="1"/>
    <col min="4862" max="4862" width="9.84375" style="35" customWidth="1"/>
    <col min="4863" max="4863" width="14" style="35" customWidth="1"/>
    <col min="4864" max="4864" width="14.53515625" style="35" customWidth="1"/>
    <col min="4865" max="4865" width="9.53515625" style="35" customWidth="1"/>
    <col min="4866" max="4866" width="14.53515625" style="35" customWidth="1"/>
    <col min="4867" max="4868" width="16.23046875" style="35" customWidth="1"/>
    <col min="4869" max="4869" width="13.84375" style="35" customWidth="1"/>
    <col min="4870" max="4874" width="16.15234375" style="35" customWidth="1"/>
    <col min="4875" max="4875" width="14.4609375" style="35" customWidth="1"/>
    <col min="4876" max="4876" width="10.15234375" style="35" customWidth="1"/>
    <col min="4877" max="4877" width="14.4609375" style="35" customWidth="1"/>
    <col min="4878" max="4879" width="18.84375" style="35" customWidth="1"/>
    <col min="4880" max="4880" width="14.69140625" style="35" customWidth="1"/>
    <col min="4881" max="4881" width="9.23046875" style="35" customWidth="1"/>
    <col min="4882" max="5105" width="8.84375" style="35"/>
    <col min="5106" max="5106" width="17.4609375" style="35" customWidth="1"/>
    <col min="5107" max="5107" width="30.69140625" style="35" customWidth="1"/>
    <col min="5108" max="5108" width="24.53515625" style="35" customWidth="1"/>
    <col min="5109" max="5109" width="30.53515625" style="35" customWidth="1"/>
    <col min="5110" max="5110" width="27.15234375" style="35" customWidth="1"/>
    <col min="5111" max="5111" width="34" style="35" customWidth="1"/>
    <col min="5112" max="5112" width="31.4609375" style="35" customWidth="1"/>
    <col min="5113" max="5113" width="82.15234375" style="35" customWidth="1"/>
    <col min="5114" max="5114" width="23.15234375" style="35" customWidth="1"/>
    <col min="5115" max="5115" width="14.69140625" style="35" customWidth="1"/>
    <col min="5116" max="5116" width="10.15234375" style="35" customWidth="1"/>
    <col min="5117" max="5117" width="15.84375" style="35" customWidth="1"/>
    <col min="5118" max="5118" width="9.84375" style="35" customWidth="1"/>
    <col min="5119" max="5119" width="14" style="35" customWidth="1"/>
    <col min="5120" max="5120" width="14.53515625" style="35" customWidth="1"/>
    <col min="5121" max="5121" width="9.53515625" style="35" customWidth="1"/>
    <col min="5122" max="5122" width="14.53515625" style="35" customWidth="1"/>
    <col min="5123" max="5124" width="16.23046875" style="35" customWidth="1"/>
    <col min="5125" max="5125" width="13.84375" style="35" customWidth="1"/>
    <col min="5126" max="5130" width="16.15234375" style="35" customWidth="1"/>
    <col min="5131" max="5131" width="14.4609375" style="35" customWidth="1"/>
    <col min="5132" max="5132" width="10.15234375" style="35" customWidth="1"/>
    <col min="5133" max="5133" width="14.4609375" style="35" customWidth="1"/>
    <col min="5134" max="5135" width="18.84375" style="35" customWidth="1"/>
    <col min="5136" max="5136" width="14.69140625" style="35" customWidth="1"/>
    <col min="5137" max="5137" width="9.23046875" style="35" customWidth="1"/>
    <col min="5138" max="5361" width="8.84375" style="35"/>
    <col min="5362" max="5362" width="17.4609375" style="35" customWidth="1"/>
    <col min="5363" max="5363" width="30.69140625" style="35" customWidth="1"/>
    <col min="5364" max="5364" width="24.53515625" style="35" customWidth="1"/>
    <col min="5365" max="5365" width="30.53515625" style="35" customWidth="1"/>
    <col min="5366" max="5366" width="27.15234375" style="35" customWidth="1"/>
    <col min="5367" max="5367" width="34" style="35" customWidth="1"/>
    <col min="5368" max="5368" width="31.4609375" style="35" customWidth="1"/>
    <col min="5369" max="5369" width="82.15234375" style="35" customWidth="1"/>
    <col min="5370" max="5370" width="23.15234375" style="35" customWidth="1"/>
    <col min="5371" max="5371" width="14.69140625" style="35" customWidth="1"/>
    <col min="5372" max="5372" width="10.15234375" style="35" customWidth="1"/>
    <col min="5373" max="5373" width="15.84375" style="35" customWidth="1"/>
    <col min="5374" max="5374" width="9.84375" style="35" customWidth="1"/>
    <col min="5375" max="5375" width="14" style="35" customWidth="1"/>
    <col min="5376" max="5376" width="14.53515625" style="35" customWidth="1"/>
    <col min="5377" max="5377" width="9.53515625" style="35" customWidth="1"/>
    <col min="5378" max="5378" width="14.53515625" style="35" customWidth="1"/>
    <col min="5379" max="5380" width="16.23046875" style="35" customWidth="1"/>
    <col min="5381" max="5381" width="13.84375" style="35" customWidth="1"/>
    <col min="5382" max="5386" width="16.15234375" style="35" customWidth="1"/>
    <col min="5387" max="5387" width="14.4609375" style="35" customWidth="1"/>
    <col min="5388" max="5388" width="10.15234375" style="35" customWidth="1"/>
    <col min="5389" max="5389" width="14.4609375" style="35" customWidth="1"/>
    <col min="5390" max="5391" width="18.84375" style="35" customWidth="1"/>
    <col min="5392" max="5392" width="14.69140625" style="35" customWidth="1"/>
    <col min="5393" max="5393" width="9.23046875" style="35" customWidth="1"/>
    <col min="5394" max="5617" width="8.84375" style="35"/>
    <col min="5618" max="5618" width="17.4609375" style="35" customWidth="1"/>
    <col min="5619" max="5619" width="30.69140625" style="35" customWidth="1"/>
    <col min="5620" max="5620" width="24.53515625" style="35" customWidth="1"/>
    <col min="5621" max="5621" width="30.53515625" style="35" customWidth="1"/>
    <col min="5622" max="5622" width="27.15234375" style="35" customWidth="1"/>
    <col min="5623" max="5623" width="34" style="35" customWidth="1"/>
    <col min="5624" max="5624" width="31.4609375" style="35" customWidth="1"/>
    <col min="5625" max="5625" width="82.15234375" style="35" customWidth="1"/>
    <col min="5626" max="5626" width="23.15234375" style="35" customWidth="1"/>
    <col min="5627" max="5627" width="14.69140625" style="35" customWidth="1"/>
    <col min="5628" max="5628" width="10.15234375" style="35" customWidth="1"/>
    <col min="5629" max="5629" width="15.84375" style="35" customWidth="1"/>
    <col min="5630" max="5630" width="9.84375" style="35" customWidth="1"/>
    <col min="5631" max="5631" width="14" style="35" customWidth="1"/>
    <col min="5632" max="5632" width="14.53515625" style="35" customWidth="1"/>
    <col min="5633" max="5633" width="9.53515625" style="35" customWidth="1"/>
    <col min="5634" max="5634" width="14.53515625" style="35" customWidth="1"/>
    <col min="5635" max="5636" width="16.23046875" style="35" customWidth="1"/>
    <col min="5637" max="5637" width="13.84375" style="35" customWidth="1"/>
    <col min="5638" max="5642" width="16.15234375" style="35" customWidth="1"/>
    <col min="5643" max="5643" width="14.4609375" style="35" customWidth="1"/>
    <col min="5644" max="5644" width="10.15234375" style="35" customWidth="1"/>
    <col min="5645" max="5645" width="14.4609375" style="35" customWidth="1"/>
    <col min="5646" max="5647" width="18.84375" style="35" customWidth="1"/>
    <col min="5648" max="5648" width="14.69140625" style="35" customWidth="1"/>
    <col min="5649" max="5649" width="9.23046875" style="35" customWidth="1"/>
    <col min="5650" max="5873" width="8.84375" style="35"/>
    <col min="5874" max="5874" width="17.4609375" style="35" customWidth="1"/>
    <col min="5875" max="5875" width="30.69140625" style="35" customWidth="1"/>
    <col min="5876" max="5876" width="24.53515625" style="35" customWidth="1"/>
    <col min="5877" max="5877" width="30.53515625" style="35" customWidth="1"/>
    <col min="5878" max="5878" width="27.15234375" style="35" customWidth="1"/>
    <col min="5879" max="5879" width="34" style="35" customWidth="1"/>
    <col min="5880" max="5880" width="31.4609375" style="35" customWidth="1"/>
    <col min="5881" max="5881" width="82.15234375" style="35" customWidth="1"/>
    <col min="5882" max="5882" width="23.15234375" style="35" customWidth="1"/>
    <col min="5883" max="5883" width="14.69140625" style="35" customWidth="1"/>
    <col min="5884" max="5884" width="10.15234375" style="35" customWidth="1"/>
    <col min="5885" max="5885" width="15.84375" style="35" customWidth="1"/>
    <col min="5886" max="5886" width="9.84375" style="35" customWidth="1"/>
    <col min="5887" max="5887" width="14" style="35" customWidth="1"/>
    <col min="5888" max="5888" width="14.53515625" style="35" customWidth="1"/>
    <col min="5889" max="5889" width="9.53515625" style="35" customWidth="1"/>
    <col min="5890" max="5890" width="14.53515625" style="35" customWidth="1"/>
    <col min="5891" max="5892" width="16.23046875" style="35" customWidth="1"/>
    <col min="5893" max="5893" width="13.84375" style="35" customWidth="1"/>
    <col min="5894" max="5898" width="16.15234375" style="35" customWidth="1"/>
    <col min="5899" max="5899" width="14.4609375" style="35" customWidth="1"/>
    <col min="5900" max="5900" width="10.15234375" style="35" customWidth="1"/>
    <col min="5901" max="5901" width="14.4609375" style="35" customWidth="1"/>
    <col min="5902" max="5903" width="18.84375" style="35" customWidth="1"/>
    <col min="5904" max="5904" width="14.69140625" style="35" customWidth="1"/>
    <col min="5905" max="5905" width="9.23046875" style="35" customWidth="1"/>
    <col min="5906" max="6129" width="8.84375" style="35"/>
    <col min="6130" max="6130" width="17.4609375" style="35" customWidth="1"/>
    <col min="6131" max="6131" width="30.69140625" style="35" customWidth="1"/>
    <col min="6132" max="6132" width="24.53515625" style="35" customWidth="1"/>
    <col min="6133" max="6133" width="30.53515625" style="35" customWidth="1"/>
    <col min="6134" max="6134" width="27.15234375" style="35" customWidth="1"/>
    <col min="6135" max="6135" width="34" style="35" customWidth="1"/>
    <col min="6136" max="6136" width="31.4609375" style="35" customWidth="1"/>
    <col min="6137" max="6137" width="82.15234375" style="35" customWidth="1"/>
    <col min="6138" max="6138" width="23.15234375" style="35" customWidth="1"/>
    <col min="6139" max="6139" width="14.69140625" style="35" customWidth="1"/>
    <col min="6140" max="6140" width="10.15234375" style="35" customWidth="1"/>
    <col min="6141" max="6141" width="15.84375" style="35" customWidth="1"/>
    <col min="6142" max="6142" width="9.84375" style="35" customWidth="1"/>
    <col min="6143" max="6143" width="14" style="35" customWidth="1"/>
    <col min="6144" max="6144" width="14.53515625" style="35" customWidth="1"/>
    <col min="6145" max="6145" width="9.53515625" style="35" customWidth="1"/>
    <col min="6146" max="6146" width="14.53515625" style="35" customWidth="1"/>
    <col min="6147" max="6148" width="16.23046875" style="35" customWidth="1"/>
    <col min="6149" max="6149" width="13.84375" style="35" customWidth="1"/>
    <col min="6150" max="6154" width="16.15234375" style="35" customWidth="1"/>
    <col min="6155" max="6155" width="14.4609375" style="35" customWidth="1"/>
    <col min="6156" max="6156" width="10.15234375" style="35" customWidth="1"/>
    <col min="6157" max="6157" width="14.4609375" style="35" customWidth="1"/>
    <col min="6158" max="6159" width="18.84375" style="35" customWidth="1"/>
    <col min="6160" max="6160" width="14.69140625" style="35" customWidth="1"/>
    <col min="6161" max="6161" width="9.23046875" style="35" customWidth="1"/>
    <col min="6162" max="6385" width="8.84375" style="35"/>
    <col min="6386" max="6386" width="17.4609375" style="35" customWidth="1"/>
    <col min="6387" max="6387" width="30.69140625" style="35" customWidth="1"/>
    <col min="6388" max="6388" width="24.53515625" style="35" customWidth="1"/>
    <col min="6389" max="6389" width="30.53515625" style="35" customWidth="1"/>
    <col min="6390" max="6390" width="27.15234375" style="35" customWidth="1"/>
    <col min="6391" max="6391" width="34" style="35" customWidth="1"/>
    <col min="6392" max="6392" width="31.4609375" style="35" customWidth="1"/>
    <col min="6393" max="6393" width="82.15234375" style="35" customWidth="1"/>
    <col min="6394" max="6394" width="23.15234375" style="35" customWidth="1"/>
    <col min="6395" max="6395" width="14.69140625" style="35" customWidth="1"/>
    <col min="6396" max="6396" width="10.15234375" style="35" customWidth="1"/>
    <col min="6397" max="6397" width="15.84375" style="35" customWidth="1"/>
    <col min="6398" max="6398" width="9.84375" style="35" customWidth="1"/>
    <col min="6399" max="6399" width="14" style="35" customWidth="1"/>
    <col min="6400" max="6400" width="14.53515625" style="35" customWidth="1"/>
    <col min="6401" max="6401" width="9.53515625" style="35" customWidth="1"/>
    <col min="6402" max="6402" width="14.53515625" style="35" customWidth="1"/>
    <col min="6403" max="6404" width="16.23046875" style="35" customWidth="1"/>
    <col min="6405" max="6405" width="13.84375" style="35" customWidth="1"/>
    <col min="6406" max="6410" width="16.15234375" style="35" customWidth="1"/>
    <col min="6411" max="6411" width="14.4609375" style="35" customWidth="1"/>
    <col min="6412" max="6412" width="10.15234375" style="35" customWidth="1"/>
    <col min="6413" max="6413" width="14.4609375" style="35" customWidth="1"/>
    <col min="6414" max="6415" width="18.84375" style="35" customWidth="1"/>
    <col min="6416" max="6416" width="14.69140625" style="35" customWidth="1"/>
    <col min="6417" max="6417" width="9.23046875" style="35" customWidth="1"/>
    <col min="6418" max="6641" width="8.84375" style="35"/>
    <col min="6642" max="6642" width="17.4609375" style="35" customWidth="1"/>
    <col min="6643" max="6643" width="30.69140625" style="35" customWidth="1"/>
    <col min="6644" max="6644" width="24.53515625" style="35" customWidth="1"/>
    <col min="6645" max="6645" width="30.53515625" style="35" customWidth="1"/>
    <col min="6646" max="6646" width="27.15234375" style="35" customWidth="1"/>
    <col min="6647" max="6647" width="34" style="35" customWidth="1"/>
    <col min="6648" max="6648" width="31.4609375" style="35" customWidth="1"/>
    <col min="6649" max="6649" width="82.15234375" style="35" customWidth="1"/>
    <col min="6650" max="6650" width="23.15234375" style="35" customWidth="1"/>
    <col min="6651" max="6651" width="14.69140625" style="35" customWidth="1"/>
    <col min="6652" max="6652" width="10.15234375" style="35" customWidth="1"/>
    <col min="6653" max="6653" width="15.84375" style="35" customWidth="1"/>
    <col min="6654" max="6654" width="9.84375" style="35" customWidth="1"/>
    <col min="6655" max="6655" width="14" style="35" customWidth="1"/>
    <col min="6656" max="6656" width="14.53515625" style="35" customWidth="1"/>
    <col min="6657" max="6657" width="9.53515625" style="35" customWidth="1"/>
    <col min="6658" max="6658" width="14.53515625" style="35" customWidth="1"/>
    <col min="6659" max="6660" width="16.23046875" style="35" customWidth="1"/>
    <col min="6661" max="6661" width="13.84375" style="35" customWidth="1"/>
    <col min="6662" max="6666" width="16.15234375" style="35" customWidth="1"/>
    <col min="6667" max="6667" width="14.4609375" style="35" customWidth="1"/>
    <col min="6668" max="6668" width="10.15234375" style="35" customWidth="1"/>
    <col min="6669" max="6669" width="14.4609375" style="35" customWidth="1"/>
    <col min="6670" max="6671" width="18.84375" style="35" customWidth="1"/>
    <col min="6672" max="6672" width="14.69140625" style="35" customWidth="1"/>
    <col min="6673" max="6673" width="9.23046875" style="35" customWidth="1"/>
    <col min="6674" max="6897" width="8.84375" style="35"/>
    <col min="6898" max="6898" width="17.4609375" style="35" customWidth="1"/>
    <col min="6899" max="6899" width="30.69140625" style="35" customWidth="1"/>
    <col min="6900" max="6900" width="24.53515625" style="35" customWidth="1"/>
    <col min="6901" max="6901" width="30.53515625" style="35" customWidth="1"/>
    <col min="6902" max="6902" width="27.15234375" style="35" customWidth="1"/>
    <col min="6903" max="6903" width="34" style="35" customWidth="1"/>
    <col min="6904" max="6904" width="31.4609375" style="35" customWidth="1"/>
    <col min="6905" max="6905" width="82.15234375" style="35" customWidth="1"/>
    <col min="6906" max="6906" width="23.15234375" style="35" customWidth="1"/>
    <col min="6907" max="6907" width="14.69140625" style="35" customWidth="1"/>
    <col min="6908" max="6908" width="10.15234375" style="35" customWidth="1"/>
    <col min="6909" max="6909" width="15.84375" style="35" customWidth="1"/>
    <col min="6910" max="6910" width="9.84375" style="35" customWidth="1"/>
    <col min="6911" max="6911" width="14" style="35" customWidth="1"/>
    <col min="6912" max="6912" width="14.53515625" style="35" customWidth="1"/>
    <col min="6913" max="6913" width="9.53515625" style="35" customWidth="1"/>
    <col min="6914" max="6914" width="14.53515625" style="35" customWidth="1"/>
    <col min="6915" max="6916" width="16.23046875" style="35" customWidth="1"/>
    <col min="6917" max="6917" width="13.84375" style="35" customWidth="1"/>
    <col min="6918" max="6922" width="16.15234375" style="35" customWidth="1"/>
    <col min="6923" max="6923" width="14.4609375" style="35" customWidth="1"/>
    <col min="6924" max="6924" width="10.15234375" style="35" customWidth="1"/>
    <col min="6925" max="6925" width="14.4609375" style="35" customWidth="1"/>
    <col min="6926" max="6927" width="18.84375" style="35" customWidth="1"/>
    <col min="6928" max="6928" width="14.69140625" style="35" customWidth="1"/>
    <col min="6929" max="6929" width="9.23046875" style="35" customWidth="1"/>
    <col min="6930" max="7153" width="8.84375" style="35"/>
    <col min="7154" max="7154" width="17.4609375" style="35" customWidth="1"/>
    <col min="7155" max="7155" width="30.69140625" style="35" customWidth="1"/>
    <col min="7156" max="7156" width="24.53515625" style="35" customWidth="1"/>
    <col min="7157" max="7157" width="30.53515625" style="35" customWidth="1"/>
    <col min="7158" max="7158" width="27.15234375" style="35" customWidth="1"/>
    <col min="7159" max="7159" width="34" style="35" customWidth="1"/>
    <col min="7160" max="7160" width="31.4609375" style="35" customWidth="1"/>
    <col min="7161" max="7161" width="82.15234375" style="35" customWidth="1"/>
    <col min="7162" max="7162" width="23.15234375" style="35" customWidth="1"/>
    <col min="7163" max="7163" width="14.69140625" style="35" customWidth="1"/>
    <col min="7164" max="7164" width="10.15234375" style="35" customWidth="1"/>
    <col min="7165" max="7165" width="15.84375" style="35" customWidth="1"/>
    <col min="7166" max="7166" width="9.84375" style="35" customWidth="1"/>
    <col min="7167" max="7167" width="14" style="35" customWidth="1"/>
    <col min="7168" max="7168" width="14.53515625" style="35" customWidth="1"/>
    <col min="7169" max="7169" width="9.53515625" style="35" customWidth="1"/>
    <col min="7170" max="7170" width="14.53515625" style="35" customWidth="1"/>
    <col min="7171" max="7172" width="16.23046875" style="35" customWidth="1"/>
    <col min="7173" max="7173" width="13.84375" style="35" customWidth="1"/>
    <col min="7174" max="7178" width="16.15234375" style="35" customWidth="1"/>
    <col min="7179" max="7179" width="14.4609375" style="35" customWidth="1"/>
    <col min="7180" max="7180" width="10.15234375" style="35" customWidth="1"/>
    <col min="7181" max="7181" width="14.4609375" style="35" customWidth="1"/>
    <col min="7182" max="7183" width="18.84375" style="35" customWidth="1"/>
    <col min="7184" max="7184" width="14.69140625" style="35" customWidth="1"/>
    <col min="7185" max="7185" width="9.23046875" style="35" customWidth="1"/>
    <col min="7186" max="7409" width="8.84375" style="35"/>
    <col min="7410" max="7410" width="17.4609375" style="35" customWidth="1"/>
    <col min="7411" max="7411" width="30.69140625" style="35" customWidth="1"/>
    <col min="7412" max="7412" width="24.53515625" style="35" customWidth="1"/>
    <col min="7413" max="7413" width="30.53515625" style="35" customWidth="1"/>
    <col min="7414" max="7414" width="27.15234375" style="35" customWidth="1"/>
    <col min="7415" max="7415" width="34" style="35" customWidth="1"/>
    <col min="7416" max="7416" width="31.4609375" style="35" customWidth="1"/>
    <col min="7417" max="7417" width="82.15234375" style="35" customWidth="1"/>
    <col min="7418" max="7418" width="23.15234375" style="35" customWidth="1"/>
    <col min="7419" max="7419" width="14.69140625" style="35" customWidth="1"/>
    <col min="7420" max="7420" width="10.15234375" style="35" customWidth="1"/>
    <col min="7421" max="7421" width="15.84375" style="35" customWidth="1"/>
    <col min="7422" max="7422" width="9.84375" style="35" customWidth="1"/>
    <col min="7423" max="7423" width="14" style="35" customWidth="1"/>
    <col min="7424" max="7424" width="14.53515625" style="35" customWidth="1"/>
    <col min="7425" max="7425" width="9.53515625" style="35" customWidth="1"/>
    <col min="7426" max="7426" width="14.53515625" style="35" customWidth="1"/>
    <col min="7427" max="7428" width="16.23046875" style="35" customWidth="1"/>
    <col min="7429" max="7429" width="13.84375" style="35" customWidth="1"/>
    <col min="7430" max="7434" width="16.15234375" style="35" customWidth="1"/>
    <col min="7435" max="7435" width="14.4609375" style="35" customWidth="1"/>
    <col min="7436" max="7436" width="10.15234375" style="35" customWidth="1"/>
    <col min="7437" max="7437" width="14.4609375" style="35" customWidth="1"/>
    <col min="7438" max="7439" width="18.84375" style="35" customWidth="1"/>
    <col min="7440" max="7440" width="14.69140625" style="35" customWidth="1"/>
    <col min="7441" max="7441" width="9.23046875" style="35" customWidth="1"/>
    <col min="7442" max="7665" width="8.84375" style="35"/>
    <col min="7666" max="7666" width="17.4609375" style="35" customWidth="1"/>
    <col min="7667" max="7667" width="30.69140625" style="35" customWidth="1"/>
    <col min="7668" max="7668" width="24.53515625" style="35" customWidth="1"/>
    <col min="7669" max="7669" width="30.53515625" style="35" customWidth="1"/>
    <col min="7670" max="7670" width="27.15234375" style="35" customWidth="1"/>
    <col min="7671" max="7671" width="34" style="35" customWidth="1"/>
    <col min="7672" max="7672" width="31.4609375" style="35" customWidth="1"/>
    <col min="7673" max="7673" width="82.15234375" style="35" customWidth="1"/>
    <col min="7674" max="7674" width="23.15234375" style="35" customWidth="1"/>
    <col min="7675" max="7675" width="14.69140625" style="35" customWidth="1"/>
    <col min="7676" max="7676" width="10.15234375" style="35" customWidth="1"/>
    <col min="7677" max="7677" width="15.84375" style="35" customWidth="1"/>
    <col min="7678" max="7678" width="9.84375" style="35" customWidth="1"/>
    <col min="7679" max="7679" width="14" style="35" customWidth="1"/>
    <col min="7680" max="7680" width="14.53515625" style="35" customWidth="1"/>
    <col min="7681" max="7681" width="9.53515625" style="35" customWidth="1"/>
    <col min="7682" max="7682" width="14.53515625" style="35" customWidth="1"/>
    <col min="7683" max="7684" width="16.23046875" style="35" customWidth="1"/>
    <col min="7685" max="7685" width="13.84375" style="35" customWidth="1"/>
    <col min="7686" max="7690" width="16.15234375" style="35" customWidth="1"/>
    <col min="7691" max="7691" width="14.4609375" style="35" customWidth="1"/>
    <col min="7692" max="7692" width="10.15234375" style="35" customWidth="1"/>
    <col min="7693" max="7693" width="14.4609375" style="35" customWidth="1"/>
    <col min="7694" max="7695" width="18.84375" style="35" customWidth="1"/>
    <col min="7696" max="7696" width="14.69140625" style="35" customWidth="1"/>
    <col min="7697" max="7697" width="9.23046875" style="35" customWidth="1"/>
    <col min="7698" max="7921" width="8.84375" style="35"/>
    <col min="7922" max="7922" width="17.4609375" style="35" customWidth="1"/>
    <col min="7923" max="7923" width="30.69140625" style="35" customWidth="1"/>
    <col min="7924" max="7924" width="24.53515625" style="35" customWidth="1"/>
    <col min="7925" max="7925" width="30.53515625" style="35" customWidth="1"/>
    <col min="7926" max="7926" width="27.15234375" style="35" customWidth="1"/>
    <col min="7927" max="7927" width="34" style="35" customWidth="1"/>
    <col min="7928" max="7928" width="31.4609375" style="35" customWidth="1"/>
    <col min="7929" max="7929" width="82.15234375" style="35" customWidth="1"/>
    <col min="7930" max="7930" width="23.15234375" style="35" customWidth="1"/>
    <col min="7931" max="7931" width="14.69140625" style="35" customWidth="1"/>
    <col min="7932" max="7932" width="10.15234375" style="35" customWidth="1"/>
    <col min="7933" max="7933" width="15.84375" style="35" customWidth="1"/>
    <col min="7934" max="7934" width="9.84375" style="35" customWidth="1"/>
    <col min="7935" max="7935" width="14" style="35" customWidth="1"/>
    <col min="7936" max="7936" width="14.53515625" style="35" customWidth="1"/>
    <col min="7937" max="7937" width="9.53515625" style="35" customWidth="1"/>
    <col min="7938" max="7938" width="14.53515625" style="35" customWidth="1"/>
    <col min="7939" max="7940" width="16.23046875" style="35" customWidth="1"/>
    <col min="7941" max="7941" width="13.84375" style="35" customWidth="1"/>
    <col min="7942" max="7946" width="16.15234375" style="35" customWidth="1"/>
    <col min="7947" max="7947" width="14.4609375" style="35" customWidth="1"/>
    <col min="7948" max="7948" width="10.15234375" style="35" customWidth="1"/>
    <col min="7949" max="7949" width="14.4609375" style="35" customWidth="1"/>
    <col min="7950" max="7951" width="18.84375" style="35" customWidth="1"/>
    <col min="7952" max="7952" width="14.69140625" style="35" customWidth="1"/>
    <col min="7953" max="7953" width="9.23046875" style="35" customWidth="1"/>
    <col min="7954" max="8177" width="8.84375" style="35"/>
    <col min="8178" max="8178" width="17.4609375" style="35" customWidth="1"/>
    <col min="8179" max="8179" width="30.69140625" style="35" customWidth="1"/>
    <col min="8180" max="8180" width="24.53515625" style="35" customWidth="1"/>
    <col min="8181" max="8181" width="30.53515625" style="35" customWidth="1"/>
    <col min="8182" max="8182" width="27.15234375" style="35" customWidth="1"/>
    <col min="8183" max="8183" width="34" style="35" customWidth="1"/>
    <col min="8184" max="8184" width="31.4609375" style="35" customWidth="1"/>
    <col min="8185" max="8185" width="82.15234375" style="35" customWidth="1"/>
    <col min="8186" max="8186" width="23.15234375" style="35" customWidth="1"/>
    <col min="8187" max="8187" width="14.69140625" style="35" customWidth="1"/>
    <col min="8188" max="8188" width="10.15234375" style="35" customWidth="1"/>
    <col min="8189" max="8189" width="15.84375" style="35" customWidth="1"/>
    <col min="8190" max="8190" width="9.84375" style="35" customWidth="1"/>
    <col min="8191" max="8191" width="14" style="35" customWidth="1"/>
    <col min="8192" max="8192" width="14.53515625" style="35" customWidth="1"/>
    <col min="8193" max="8193" width="9.53515625" style="35" customWidth="1"/>
    <col min="8194" max="8194" width="14.53515625" style="35" customWidth="1"/>
    <col min="8195" max="8196" width="16.23046875" style="35" customWidth="1"/>
    <col min="8197" max="8197" width="13.84375" style="35" customWidth="1"/>
    <col min="8198" max="8202" width="16.15234375" style="35" customWidth="1"/>
    <col min="8203" max="8203" width="14.4609375" style="35" customWidth="1"/>
    <col min="8204" max="8204" width="10.15234375" style="35" customWidth="1"/>
    <col min="8205" max="8205" width="14.4609375" style="35" customWidth="1"/>
    <col min="8206" max="8207" width="18.84375" style="35" customWidth="1"/>
    <col min="8208" max="8208" width="14.69140625" style="35" customWidth="1"/>
    <col min="8209" max="8209" width="9.23046875" style="35" customWidth="1"/>
    <col min="8210" max="8433" width="8.84375" style="35"/>
    <col min="8434" max="8434" width="17.4609375" style="35" customWidth="1"/>
    <col min="8435" max="8435" width="30.69140625" style="35" customWidth="1"/>
    <col min="8436" max="8436" width="24.53515625" style="35" customWidth="1"/>
    <col min="8437" max="8437" width="30.53515625" style="35" customWidth="1"/>
    <col min="8438" max="8438" width="27.15234375" style="35" customWidth="1"/>
    <col min="8439" max="8439" width="34" style="35" customWidth="1"/>
    <col min="8440" max="8440" width="31.4609375" style="35" customWidth="1"/>
    <col min="8441" max="8441" width="82.15234375" style="35" customWidth="1"/>
    <col min="8442" max="8442" width="23.15234375" style="35" customWidth="1"/>
    <col min="8443" max="8443" width="14.69140625" style="35" customWidth="1"/>
    <col min="8444" max="8444" width="10.15234375" style="35" customWidth="1"/>
    <col min="8445" max="8445" width="15.84375" style="35" customWidth="1"/>
    <col min="8446" max="8446" width="9.84375" style="35" customWidth="1"/>
    <col min="8447" max="8447" width="14" style="35" customWidth="1"/>
    <col min="8448" max="8448" width="14.53515625" style="35" customWidth="1"/>
    <col min="8449" max="8449" width="9.53515625" style="35" customWidth="1"/>
    <col min="8450" max="8450" width="14.53515625" style="35" customWidth="1"/>
    <col min="8451" max="8452" width="16.23046875" style="35" customWidth="1"/>
    <col min="8453" max="8453" width="13.84375" style="35" customWidth="1"/>
    <col min="8454" max="8458" width="16.15234375" style="35" customWidth="1"/>
    <col min="8459" max="8459" width="14.4609375" style="35" customWidth="1"/>
    <col min="8460" max="8460" width="10.15234375" style="35" customWidth="1"/>
    <col min="8461" max="8461" width="14.4609375" style="35" customWidth="1"/>
    <col min="8462" max="8463" width="18.84375" style="35" customWidth="1"/>
    <col min="8464" max="8464" width="14.69140625" style="35" customWidth="1"/>
    <col min="8465" max="8465" width="9.23046875" style="35" customWidth="1"/>
    <col min="8466" max="8689" width="8.84375" style="35"/>
    <col min="8690" max="8690" width="17.4609375" style="35" customWidth="1"/>
    <col min="8691" max="8691" width="30.69140625" style="35" customWidth="1"/>
    <col min="8692" max="8692" width="24.53515625" style="35" customWidth="1"/>
    <col min="8693" max="8693" width="30.53515625" style="35" customWidth="1"/>
    <col min="8694" max="8694" width="27.15234375" style="35" customWidth="1"/>
    <col min="8695" max="8695" width="34" style="35" customWidth="1"/>
    <col min="8696" max="8696" width="31.4609375" style="35" customWidth="1"/>
    <col min="8697" max="8697" width="82.15234375" style="35" customWidth="1"/>
    <col min="8698" max="8698" width="23.15234375" style="35" customWidth="1"/>
    <col min="8699" max="8699" width="14.69140625" style="35" customWidth="1"/>
    <col min="8700" max="8700" width="10.15234375" style="35" customWidth="1"/>
    <col min="8701" max="8701" width="15.84375" style="35" customWidth="1"/>
    <col min="8702" max="8702" width="9.84375" style="35" customWidth="1"/>
    <col min="8703" max="8703" width="14" style="35" customWidth="1"/>
    <col min="8704" max="8704" width="14.53515625" style="35" customWidth="1"/>
    <col min="8705" max="8705" width="9.53515625" style="35" customWidth="1"/>
    <col min="8706" max="8706" width="14.53515625" style="35" customWidth="1"/>
    <col min="8707" max="8708" width="16.23046875" style="35" customWidth="1"/>
    <col min="8709" max="8709" width="13.84375" style="35" customWidth="1"/>
    <col min="8710" max="8714" width="16.15234375" style="35" customWidth="1"/>
    <col min="8715" max="8715" width="14.4609375" style="35" customWidth="1"/>
    <col min="8716" max="8716" width="10.15234375" style="35" customWidth="1"/>
    <col min="8717" max="8717" width="14.4609375" style="35" customWidth="1"/>
    <col min="8718" max="8719" width="18.84375" style="35" customWidth="1"/>
    <col min="8720" max="8720" width="14.69140625" style="35" customWidth="1"/>
    <col min="8721" max="8721" width="9.23046875" style="35" customWidth="1"/>
    <col min="8722" max="8945" width="8.84375" style="35"/>
    <col min="8946" max="8946" width="17.4609375" style="35" customWidth="1"/>
    <col min="8947" max="8947" width="30.69140625" style="35" customWidth="1"/>
    <col min="8948" max="8948" width="24.53515625" style="35" customWidth="1"/>
    <col min="8949" max="8949" width="30.53515625" style="35" customWidth="1"/>
    <col min="8950" max="8950" width="27.15234375" style="35" customWidth="1"/>
    <col min="8951" max="8951" width="34" style="35" customWidth="1"/>
    <col min="8952" max="8952" width="31.4609375" style="35" customWidth="1"/>
    <col min="8953" max="8953" width="82.15234375" style="35" customWidth="1"/>
    <col min="8954" max="8954" width="23.15234375" style="35" customWidth="1"/>
    <col min="8955" max="8955" width="14.69140625" style="35" customWidth="1"/>
    <col min="8956" max="8956" width="10.15234375" style="35" customWidth="1"/>
    <col min="8957" max="8957" width="15.84375" style="35" customWidth="1"/>
    <col min="8958" max="8958" width="9.84375" style="35" customWidth="1"/>
    <col min="8959" max="8959" width="14" style="35" customWidth="1"/>
    <col min="8960" max="8960" width="14.53515625" style="35" customWidth="1"/>
    <col min="8961" max="8961" width="9.53515625" style="35" customWidth="1"/>
    <col min="8962" max="8962" width="14.53515625" style="35" customWidth="1"/>
    <col min="8963" max="8964" width="16.23046875" style="35" customWidth="1"/>
    <col min="8965" max="8965" width="13.84375" style="35" customWidth="1"/>
    <col min="8966" max="8970" width="16.15234375" style="35" customWidth="1"/>
    <col min="8971" max="8971" width="14.4609375" style="35" customWidth="1"/>
    <col min="8972" max="8972" width="10.15234375" style="35" customWidth="1"/>
    <col min="8973" max="8973" width="14.4609375" style="35" customWidth="1"/>
    <col min="8974" max="8975" width="18.84375" style="35" customWidth="1"/>
    <col min="8976" max="8976" width="14.69140625" style="35" customWidth="1"/>
    <col min="8977" max="8977" width="9.23046875" style="35" customWidth="1"/>
    <col min="8978" max="9201" width="8.84375" style="35"/>
    <col min="9202" max="9202" width="17.4609375" style="35" customWidth="1"/>
    <col min="9203" max="9203" width="30.69140625" style="35" customWidth="1"/>
    <col min="9204" max="9204" width="24.53515625" style="35" customWidth="1"/>
    <col min="9205" max="9205" width="30.53515625" style="35" customWidth="1"/>
    <col min="9206" max="9206" width="27.15234375" style="35" customWidth="1"/>
    <col min="9207" max="9207" width="34" style="35" customWidth="1"/>
    <col min="9208" max="9208" width="31.4609375" style="35" customWidth="1"/>
    <col min="9209" max="9209" width="82.15234375" style="35" customWidth="1"/>
    <col min="9210" max="9210" width="23.15234375" style="35" customWidth="1"/>
    <col min="9211" max="9211" width="14.69140625" style="35" customWidth="1"/>
    <col min="9212" max="9212" width="10.15234375" style="35" customWidth="1"/>
    <col min="9213" max="9213" width="15.84375" style="35" customWidth="1"/>
    <col min="9214" max="9214" width="9.84375" style="35" customWidth="1"/>
    <col min="9215" max="9215" width="14" style="35" customWidth="1"/>
    <col min="9216" max="9216" width="14.53515625" style="35" customWidth="1"/>
    <col min="9217" max="9217" width="9.53515625" style="35" customWidth="1"/>
    <col min="9218" max="9218" width="14.53515625" style="35" customWidth="1"/>
    <col min="9219" max="9220" width="16.23046875" style="35" customWidth="1"/>
    <col min="9221" max="9221" width="13.84375" style="35" customWidth="1"/>
    <col min="9222" max="9226" width="16.15234375" style="35" customWidth="1"/>
    <col min="9227" max="9227" width="14.4609375" style="35" customWidth="1"/>
    <col min="9228" max="9228" width="10.15234375" style="35" customWidth="1"/>
    <col min="9229" max="9229" width="14.4609375" style="35" customWidth="1"/>
    <col min="9230" max="9231" width="18.84375" style="35" customWidth="1"/>
    <col min="9232" max="9232" width="14.69140625" style="35" customWidth="1"/>
    <col min="9233" max="9233" width="9.23046875" style="35" customWidth="1"/>
    <col min="9234" max="9457" width="8.84375" style="35"/>
    <col min="9458" max="9458" width="17.4609375" style="35" customWidth="1"/>
    <col min="9459" max="9459" width="30.69140625" style="35" customWidth="1"/>
    <col min="9460" max="9460" width="24.53515625" style="35" customWidth="1"/>
    <col min="9461" max="9461" width="30.53515625" style="35" customWidth="1"/>
    <col min="9462" max="9462" width="27.15234375" style="35" customWidth="1"/>
    <col min="9463" max="9463" width="34" style="35" customWidth="1"/>
    <col min="9464" max="9464" width="31.4609375" style="35" customWidth="1"/>
    <col min="9465" max="9465" width="82.15234375" style="35" customWidth="1"/>
    <col min="9466" max="9466" width="23.15234375" style="35" customWidth="1"/>
    <col min="9467" max="9467" width="14.69140625" style="35" customWidth="1"/>
    <col min="9468" max="9468" width="10.15234375" style="35" customWidth="1"/>
    <col min="9469" max="9469" width="15.84375" style="35" customWidth="1"/>
    <col min="9470" max="9470" width="9.84375" style="35" customWidth="1"/>
    <col min="9471" max="9471" width="14" style="35" customWidth="1"/>
    <col min="9472" max="9472" width="14.53515625" style="35" customWidth="1"/>
    <col min="9473" max="9473" width="9.53515625" style="35" customWidth="1"/>
    <col min="9474" max="9474" width="14.53515625" style="35" customWidth="1"/>
    <col min="9475" max="9476" width="16.23046875" style="35" customWidth="1"/>
    <col min="9477" max="9477" width="13.84375" style="35" customWidth="1"/>
    <col min="9478" max="9482" width="16.15234375" style="35" customWidth="1"/>
    <col min="9483" max="9483" width="14.4609375" style="35" customWidth="1"/>
    <col min="9484" max="9484" width="10.15234375" style="35" customWidth="1"/>
    <col min="9485" max="9485" width="14.4609375" style="35" customWidth="1"/>
    <col min="9486" max="9487" width="18.84375" style="35" customWidth="1"/>
    <col min="9488" max="9488" width="14.69140625" style="35" customWidth="1"/>
    <col min="9489" max="9489" width="9.23046875" style="35" customWidth="1"/>
    <col min="9490" max="9713" width="8.84375" style="35"/>
    <col min="9714" max="9714" width="17.4609375" style="35" customWidth="1"/>
    <col min="9715" max="9715" width="30.69140625" style="35" customWidth="1"/>
    <col min="9716" max="9716" width="24.53515625" style="35" customWidth="1"/>
    <col min="9717" max="9717" width="30.53515625" style="35" customWidth="1"/>
    <col min="9718" max="9718" width="27.15234375" style="35" customWidth="1"/>
    <col min="9719" max="9719" width="34" style="35" customWidth="1"/>
    <col min="9720" max="9720" width="31.4609375" style="35" customWidth="1"/>
    <col min="9721" max="9721" width="82.15234375" style="35" customWidth="1"/>
    <col min="9722" max="9722" width="23.15234375" style="35" customWidth="1"/>
    <col min="9723" max="9723" width="14.69140625" style="35" customWidth="1"/>
    <col min="9724" max="9724" width="10.15234375" style="35" customWidth="1"/>
    <col min="9725" max="9725" width="15.84375" style="35" customWidth="1"/>
    <col min="9726" max="9726" width="9.84375" style="35" customWidth="1"/>
    <col min="9727" max="9727" width="14" style="35" customWidth="1"/>
    <col min="9728" max="9728" width="14.53515625" style="35" customWidth="1"/>
    <col min="9729" max="9729" width="9.53515625" style="35" customWidth="1"/>
    <col min="9730" max="9730" width="14.53515625" style="35" customWidth="1"/>
    <col min="9731" max="9732" width="16.23046875" style="35" customWidth="1"/>
    <col min="9733" max="9733" width="13.84375" style="35" customWidth="1"/>
    <col min="9734" max="9738" width="16.15234375" style="35" customWidth="1"/>
    <col min="9739" max="9739" width="14.4609375" style="35" customWidth="1"/>
    <col min="9740" max="9740" width="10.15234375" style="35" customWidth="1"/>
    <col min="9741" max="9741" width="14.4609375" style="35" customWidth="1"/>
    <col min="9742" max="9743" width="18.84375" style="35" customWidth="1"/>
    <col min="9744" max="9744" width="14.69140625" style="35" customWidth="1"/>
    <col min="9745" max="9745" width="9.23046875" style="35" customWidth="1"/>
    <col min="9746" max="9969" width="8.84375" style="35"/>
    <col min="9970" max="9970" width="17.4609375" style="35" customWidth="1"/>
    <col min="9971" max="9971" width="30.69140625" style="35" customWidth="1"/>
    <col min="9972" max="9972" width="24.53515625" style="35" customWidth="1"/>
    <col min="9973" max="9973" width="30.53515625" style="35" customWidth="1"/>
    <col min="9974" max="9974" width="27.15234375" style="35" customWidth="1"/>
    <col min="9975" max="9975" width="34" style="35" customWidth="1"/>
    <col min="9976" max="9976" width="31.4609375" style="35" customWidth="1"/>
    <col min="9977" max="9977" width="82.15234375" style="35" customWidth="1"/>
    <col min="9978" max="9978" width="23.15234375" style="35" customWidth="1"/>
    <col min="9979" max="9979" width="14.69140625" style="35" customWidth="1"/>
    <col min="9980" max="9980" width="10.15234375" style="35" customWidth="1"/>
    <col min="9981" max="9981" width="15.84375" style="35" customWidth="1"/>
    <col min="9982" max="9982" width="9.84375" style="35" customWidth="1"/>
    <col min="9983" max="9983" width="14" style="35" customWidth="1"/>
    <col min="9984" max="9984" width="14.53515625" style="35" customWidth="1"/>
    <col min="9985" max="9985" width="9.53515625" style="35" customWidth="1"/>
    <col min="9986" max="9986" width="14.53515625" style="35" customWidth="1"/>
    <col min="9987" max="9988" width="16.23046875" style="35" customWidth="1"/>
    <col min="9989" max="9989" width="13.84375" style="35" customWidth="1"/>
    <col min="9990" max="9994" width="16.15234375" style="35" customWidth="1"/>
    <col min="9995" max="9995" width="14.4609375" style="35" customWidth="1"/>
    <col min="9996" max="9996" width="10.15234375" style="35" customWidth="1"/>
    <col min="9997" max="9997" width="14.4609375" style="35" customWidth="1"/>
    <col min="9998" max="9999" width="18.84375" style="35" customWidth="1"/>
    <col min="10000" max="10000" width="14.69140625" style="35" customWidth="1"/>
    <col min="10001" max="10001" width="9.23046875" style="35" customWidth="1"/>
    <col min="10002" max="10225" width="8.84375" style="35"/>
    <col min="10226" max="10226" width="17.4609375" style="35" customWidth="1"/>
    <col min="10227" max="10227" width="30.69140625" style="35" customWidth="1"/>
    <col min="10228" max="10228" width="24.53515625" style="35" customWidth="1"/>
    <col min="10229" max="10229" width="30.53515625" style="35" customWidth="1"/>
    <col min="10230" max="10230" width="27.15234375" style="35" customWidth="1"/>
    <col min="10231" max="10231" width="34" style="35" customWidth="1"/>
    <col min="10232" max="10232" width="31.4609375" style="35" customWidth="1"/>
    <col min="10233" max="10233" width="82.15234375" style="35" customWidth="1"/>
    <col min="10234" max="10234" width="23.15234375" style="35" customWidth="1"/>
    <col min="10235" max="10235" width="14.69140625" style="35" customWidth="1"/>
    <col min="10236" max="10236" width="10.15234375" style="35" customWidth="1"/>
    <col min="10237" max="10237" width="15.84375" style="35" customWidth="1"/>
    <col min="10238" max="10238" width="9.84375" style="35" customWidth="1"/>
    <col min="10239" max="10239" width="14" style="35" customWidth="1"/>
    <col min="10240" max="10240" width="14.53515625" style="35" customWidth="1"/>
    <col min="10241" max="10241" width="9.53515625" style="35" customWidth="1"/>
    <col min="10242" max="10242" width="14.53515625" style="35" customWidth="1"/>
    <col min="10243" max="10244" width="16.23046875" style="35" customWidth="1"/>
    <col min="10245" max="10245" width="13.84375" style="35" customWidth="1"/>
    <col min="10246" max="10250" width="16.15234375" style="35" customWidth="1"/>
    <col min="10251" max="10251" width="14.4609375" style="35" customWidth="1"/>
    <col min="10252" max="10252" width="10.15234375" style="35" customWidth="1"/>
    <col min="10253" max="10253" width="14.4609375" style="35" customWidth="1"/>
    <col min="10254" max="10255" width="18.84375" style="35" customWidth="1"/>
    <col min="10256" max="10256" width="14.69140625" style="35" customWidth="1"/>
    <col min="10257" max="10257" width="9.23046875" style="35" customWidth="1"/>
    <col min="10258" max="10481" width="8.84375" style="35"/>
    <col min="10482" max="10482" width="17.4609375" style="35" customWidth="1"/>
    <col min="10483" max="10483" width="30.69140625" style="35" customWidth="1"/>
    <col min="10484" max="10484" width="24.53515625" style="35" customWidth="1"/>
    <col min="10485" max="10485" width="30.53515625" style="35" customWidth="1"/>
    <col min="10486" max="10486" width="27.15234375" style="35" customWidth="1"/>
    <col min="10487" max="10487" width="34" style="35" customWidth="1"/>
    <col min="10488" max="10488" width="31.4609375" style="35" customWidth="1"/>
    <col min="10489" max="10489" width="82.15234375" style="35" customWidth="1"/>
    <col min="10490" max="10490" width="23.15234375" style="35" customWidth="1"/>
    <col min="10491" max="10491" width="14.69140625" style="35" customWidth="1"/>
    <col min="10492" max="10492" width="10.15234375" style="35" customWidth="1"/>
    <col min="10493" max="10493" width="15.84375" style="35" customWidth="1"/>
    <col min="10494" max="10494" width="9.84375" style="35" customWidth="1"/>
    <col min="10495" max="10495" width="14" style="35" customWidth="1"/>
    <col min="10496" max="10496" width="14.53515625" style="35" customWidth="1"/>
    <col min="10497" max="10497" width="9.53515625" style="35" customWidth="1"/>
    <col min="10498" max="10498" width="14.53515625" style="35" customWidth="1"/>
    <col min="10499" max="10500" width="16.23046875" style="35" customWidth="1"/>
    <col min="10501" max="10501" width="13.84375" style="35" customWidth="1"/>
    <col min="10502" max="10506" width="16.15234375" style="35" customWidth="1"/>
    <col min="10507" max="10507" width="14.4609375" style="35" customWidth="1"/>
    <col min="10508" max="10508" width="10.15234375" style="35" customWidth="1"/>
    <col min="10509" max="10509" width="14.4609375" style="35" customWidth="1"/>
    <col min="10510" max="10511" width="18.84375" style="35" customWidth="1"/>
    <col min="10512" max="10512" width="14.69140625" style="35" customWidth="1"/>
    <col min="10513" max="10513" width="9.23046875" style="35" customWidth="1"/>
    <col min="10514" max="10737" width="8.84375" style="35"/>
    <col min="10738" max="10738" width="17.4609375" style="35" customWidth="1"/>
    <col min="10739" max="10739" width="30.69140625" style="35" customWidth="1"/>
    <col min="10740" max="10740" width="24.53515625" style="35" customWidth="1"/>
    <col min="10741" max="10741" width="30.53515625" style="35" customWidth="1"/>
    <col min="10742" max="10742" width="27.15234375" style="35" customWidth="1"/>
    <col min="10743" max="10743" width="34" style="35" customWidth="1"/>
    <col min="10744" max="10744" width="31.4609375" style="35" customWidth="1"/>
    <col min="10745" max="10745" width="82.15234375" style="35" customWidth="1"/>
    <col min="10746" max="10746" width="23.15234375" style="35" customWidth="1"/>
    <col min="10747" max="10747" width="14.69140625" style="35" customWidth="1"/>
    <col min="10748" max="10748" width="10.15234375" style="35" customWidth="1"/>
    <col min="10749" max="10749" width="15.84375" style="35" customWidth="1"/>
    <col min="10750" max="10750" width="9.84375" style="35" customWidth="1"/>
    <col min="10751" max="10751" width="14" style="35" customWidth="1"/>
    <col min="10752" max="10752" width="14.53515625" style="35" customWidth="1"/>
    <col min="10753" max="10753" width="9.53515625" style="35" customWidth="1"/>
    <col min="10754" max="10754" width="14.53515625" style="35" customWidth="1"/>
    <col min="10755" max="10756" width="16.23046875" style="35" customWidth="1"/>
    <col min="10757" max="10757" width="13.84375" style="35" customWidth="1"/>
    <col min="10758" max="10762" width="16.15234375" style="35" customWidth="1"/>
    <col min="10763" max="10763" width="14.4609375" style="35" customWidth="1"/>
    <col min="10764" max="10764" width="10.15234375" style="35" customWidth="1"/>
    <col min="10765" max="10765" width="14.4609375" style="35" customWidth="1"/>
    <col min="10766" max="10767" width="18.84375" style="35" customWidth="1"/>
    <col min="10768" max="10768" width="14.69140625" style="35" customWidth="1"/>
    <col min="10769" max="10769" width="9.23046875" style="35" customWidth="1"/>
    <col min="10770" max="10993" width="8.84375" style="35"/>
    <col min="10994" max="10994" width="17.4609375" style="35" customWidth="1"/>
    <col min="10995" max="10995" width="30.69140625" style="35" customWidth="1"/>
    <col min="10996" max="10996" width="24.53515625" style="35" customWidth="1"/>
    <col min="10997" max="10997" width="30.53515625" style="35" customWidth="1"/>
    <col min="10998" max="10998" width="27.15234375" style="35" customWidth="1"/>
    <col min="10999" max="10999" width="34" style="35" customWidth="1"/>
    <col min="11000" max="11000" width="31.4609375" style="35" customWidth="1"/>
    <col min="11001" max="11001" width="82.15234375" style="35" customWidth="1"/>
    <col min="11002" max="11002" width="23.15234375" style="35" customWidth="1"/>
    <col min="11003" max="11003" width="14.69140625" style="35" customWidth="1"/>
    <col min="11004" max="11004" width="10.15234375" style="35" customWidth="1"/>
    <col min="11005" max="11005" width="15.84375" style="35" customWidth="1"/>
    <col min="11006" max="11006" width="9.84375" style="35" customWidth="1"/>
    <col min="11007" max="11007" width="14" style="35" customWidth="1"/>
    <col min="11008" max="11008" width="14.53515625" style="35" customWidth="1"/>
    <col min="11009" max="11009" width="9.53515625" style="35" customWidth="1"/>
    <col min="11010" max="11010" width="14.53515625" style="35" customWidth="1"/>
    <col min="11011" max="11012" width="16.23046875" style="35" customWidth="1"/>
    <col min="11013" max="11013" width="13.84375" style="35" customWidth="1"/>
    <col min="11014" max="11018" width="16.15234375" style="35" customWidth="1"/>
    <col min="11019" max="11019" width="14.4609375" style="35" customWidth="1"/>
    <col min="11020" max="11020" width="10.15234375" style="35" customWidth="1"/>
    <col min="11021" max="11021" width="14.4609375" style="35" customWidth="1"/>
    <col min="11022" max="11023" width="18.84375" style="35" customWidth="1"/>
    <col min="11024" max="11024" width="14.69140625" style="35" customWidth="1"/>
    <col min="11025" max="11025" width="9.23046875" style="35" customWidth="1"/>
    <col min="11026" max="11249" width="8.84375" style="35"/>
    <col min="11250" max="11250" width="17.4609375" style="35" customWidth="1"/>
    <col min="11251" max="11251" width="30.69140625" style="35" customWidth="1"/>
    <col min="11252" max="11252" width="24.53515625" style="35" customWidth="1"/>
    <col min="11253" max="11253" width="30.53515625" style="35" customWidth="1"/>
    <col min="11254" max="11254" width="27.15234375" style="35" customWidth="1"/>
    <col min="11255" max="11255" width="34" style="35" customWidth="1"/>
    <col min="11256" max="11256" width="31.4609375" style="35" customWidth="1"/>
    <col min="11257" max="11257" width="82.15234375" style="35" customWidth="1"/>
    <col min="11258" max="11258" width="23.15234375" style="35" customWidth="1"/>
    <col min="11259" max="11259" width="14.69140625" style="35" customWidth="1"/>
    <col min="11260" max="11260" width="10.15234375" style="35" customWidth="1"/>
    <col min="11261" max="11261" width="15.84375" style="35" customWidth="1"/>
    <col min="11262" max="11262" width="9.84375" style="35" customWidth="1"/>
    <col min="11263" max="11263" width="14" style="35" customWidth="1"/>
    <col min="11264" max="11264" width="14.53515625" style="35" customWidth="1"/>
    <col min="11265" max="11265" width="9.53515625" style="35" customWidth="1"/>
    <col min="11266" max="11266" width="14.53515625" style="35" customWidth="1"/>
    <col min="11267" max="11268" width="16.23046875" style="35" customWidth="1"/>
    <col min="11269" max="11269" width="13.84375" style="35" customWidth="1"/>
    <col min="11270" max="11274" width="16.15234375" style="35" customWidth="1"/>
    <col min="11275" max="11275" width="14.4609375" style="35" customWidth="1"/>
    <col min="11276" max="11276" width="10.15234375" style="35" customWidth="1"/>
    <col min="11277" max="11277" width="14.4609375" style="35" customWidth="1"/>
    <col min="11278" max="11279" width="18.84375" style="35" customWidth="1"/>
    <col min="11280" max="11280" width="14.69140625" style="35" customWidth="1"/>
    <col min="11281" max="11281" width="9.23046875" style="35" customWidth="1"/>
    <col min="11282" max="11505" width="8.84375" style="35"/>
    <col min="11506" max="11506" width="17.4609375" style="35" customWidth="1"/>
    <col min="11507" max="11507" width="30.69140625" style="35" customWidth="1"/>
    <col min="11508" max="11508" width="24.53515625" style="35" customWidth="1"/>
    <col min="11509" max="11509" width="30.53515625" style="35" customWidth="1"/>
    <col min="11510" max="11510" width="27.15234375" style="35" customWidth="1"/>
    <col min="11511" max="11511" width="34" style="35" customWidth="1"/>
    <col min="11512" max="11512" width="31.4609375" style="35" customWidth="1"/>
    <col min="11513" max="11513" width="82.15234375" style="35" customWidth="1"/>
    <col min="11514" max="11514" width="23.15234375" style="35" customWidth="1"/>
    <col min="11515" max="11515" width="14.69140625" style="35" customWidth="1"/>
    <col min="11516" max="11516" width="10.15234375" style="35" customWidth="1"/>
    <col min="11517" max="11517" width="15.84375" style="35" customWidth="1"/>
    <col min="11518" max="11518" width="9.84375" style="35" customWidth="1"/>
    <col min="11519" max="11519" width="14" style="35" customWidth="1"/>
    <col min="11520" max="11520" width="14.53515625" style="35" customWidth="1"/>
    <col min="11521" max="11521" width="9.53515625" style="35" customWidth="1"/>
    <col min="11522" max="11522" width="14.53515625" style="35" customWidth="1"/>
    <col min="11523" max="11524" width="16.23046875" style="35" customWidth="1"/>
    <col min="11525" max="11525" width="13.84375" style="35" customWidth="1"/>
    <col min="11526" max="11530" width="16.15234375" style="35" customWidth="1"/>
    <col min="11531" max="11531" width="14.4609375" style="35" customWidth="1"/>
    <col min="11532" max="11532" width="10.15234375" style="35" customWidth="1"/>
    <col min="11533" max="11533" width="14.4609375" style="35" customWidth="1"/>
    <col min="11534" max="11535" width="18.84375" style="35" customWidth="1"/>
    <col min="11536" max="11536" width="14.69140625" style="35" customWidth="1"/>
    <col min="11537" max="11537" width="9.23046875" style="35" customWidth="1"/>
    <col min="11538" max="11761" width="8.84375" style="35"/>
    <col min="11762" max="11762" width="17.4609375" style="35" customWidth="1"/>
    <col min="11763" max="11763" width="30.69140625" style="35" customWidth="1"/>
    <col min="11764" max="11764" width="24.53515625" style="35" customWidth="1"/>
    <col min="11765" max="11765" width="30.53515625" style="35" customWidth="1"/>
    <col min="11766" max="11766" width="27.15234375" style="35" customWidth="1"/>
    <col min="11767" max="11767" width="34" style="35" customWidth="1"/>
    <col min="11768" max="11768" width="31.4609375" style="35" customWidth="1"/>
    <col min="11769" max="11769" width="82.15234375" style="35" customWidth="1"/>
    <col min="11770" max="11770" width="23.15234375" style="35" customWidth="1"/>
    <col min="11771" max="11771" width="14.69140625" style="35" customWidth="1"/>
    <col min="11772" max="11772" width="10.15234375" style="35" customWidth="1"/>
    <col min="11773" max="11773" width="15.84375" style="35" customWidth="1"/>
    <col min="11774" max="11774" width="9.84375" style="35" customWidth="1"/>
    <col min="11775" max="11775" width="14" style="35" customWidth="1"/>
    <col min="11776" max="11776" width="14.53515625" style="35" customWidth="1"/>
    <col min="11777" max="11777" width="9.53515625" style="35" customWidth="1"/>
    <col min="11778" max="11778" width="14.53515625" style="35" customWidth="1"/>
    <col min="11779" max="11780" width="16.23046875" style="35" customWidth="1"/>
    <col min="11781" max="11781" width="13.84375" style="35" customWidth="1"/>
    <col min="11782" max="11786" width="16.15234375" style="35" customWidth="1"/>
    <col min="11787" max="11787" width="14.4609375" style="35" customWidth="1"/>
    <col min="11788" max="11788" width="10.15234375" style="35" customWidth="1"/>
    <col min="11789" max="11789" width="14.4609375" style="35" customWidth="1"/>
    <col min="11790" max="11791" width="18.84375" style="35" customWidth="1"/>
    <col min="11792" max="11792" width="14.69140625" style="35" customWidth="1"/>
    <col min="11793" max="11793" width="9.23046875" style="35" customWidth="1"/>
    <col min="11794" max="12017" width="8.84375" style="35"/>
    <col min="12018" max="12018" width="17.4609375" style="35" customWidth="1"/>
    <col min="12019" max="12019" width="30.69140625" style="35" customWidth="1"/>
    <col min="12020" max="12020" width="24.53515625" style="35" customWidth="1"/>
    <col min="12021" max="12021" width="30.53515625" style="35" customWidth="1"/>
    <col min="12022" max="12022" width="27.15234375" style="35" customWidth="1"/>
    <col min="12023" max="12023" width="34" style="35" customWidth="1"/>
    <col min="12024" max="12024" width="31.4609375" style="35" customWidth="1"/>
    <col min="12025" max="12025" width="82.15234375" style="35" customWidth="1"/>
    <col min="12026" max="12026" width="23.15234375" style="35" customWidth="1"/>
    <col min="12027" max="12027" width="14.69140625" style="35" customWidth="1"/>
    <col min="12028" max="12028" width="10.15234375" style="35" customWidth="1"/>
    <col min="12029" max="12029" width="15.84375" style="35" customWidth="1"/>
    <col min="12030" max="12030" width="9.84375" style="35" customWidth="1"/>
    <col min="12031" max="12031" width="14" style="35" customWidth="1"/>
    <col min="12032" max="12032" width="14.53515625" style="35" customWidth="1"/>
    <col min="12033" max="12033" width="9.53515625" style="35" customWidth="1"/>
    <col min="12034" max="12034" width="14.53515625" style="35" customWidth="1"/>
    <col min="12035" max="12036" width="16.23046875" style="35" customWidth="1"/>
    <col min="12037" max="12037" width="13.84375" style="35" customWidth="1"/>
    <col min="12038" max="12042" width="16.15234375" style="35" customWidth="1"/>
    <col min="12043" max="12043" width="14.4609375" style="35" customWidth="1"/>
    <col min="12044" max="12044" width="10.15234375" style="35" customWidth="1"/>
    <col min="12045" max="12045" width="14.4609375" style="35" customWidth="1"/>
    <col min="12046" max="12047" width="18.84375" style="35" customWidth="1"/>
    <col min="12048" max="12048" width="14.69140625" style="35" customWidth="1"/>
    <col min="12049" max="12049" width="9.23046875" style="35" customWidth="1"/>
    <col min="12050" max="12273" width="8.84375" style="35"/>
    <col min="12274" max="12274" width="17.4609375" style="35" customWidth="1"/>
    <col min="12275" max="12275" width="30.69140625" style="35" customWidth="1"/>
    <col min="12276" max="12276" width="24.53515625" style="35" customWidth="1"/>
    <col min="12277" max="12277" width="30.53515625" style="35" customWidth="1"/>
    <col min="12278" max="12278" width="27.15234375" style="35" customWidth="1"/>
    <col min="12279" max="12279" width="34" style="35" customWidth="1"/>
    <col min="12280" max="12280" width="31.4609375" style="35" customWidth="1"/>
    <col min="12281" max="12281" width="82.15234375" style="35" customWidth="1"/>
    <col min="12282" max="12282" width="23.15234375" style="35" customWidth="1"/>
    <col min="12283" max="12283" width="14.69140625" style="35" customWidth="1"/>
    <col min="12284" max="12284" width="10.15234375" style="35" customWidth="1"/>
    <col min="12285" max="12285" width="15.84375" style="35" customWidth="1"/>
    <col min="12286" max="12286" width="9.84375" style="35" customWidth="1"/>
    <col min="12287" max="12287" width="14" style="35" customWidth="1"/>
    <col min="12288" max="12288" width="14.53515625" style="35" customWidth="1"/>
    <col min="12289" max="12289" width="9.53515625" style="35" customWidth="1"/>
    <col min="12290" max="12290" width="14.53515625" style="35" customWidth="1"/>
    <col min="12291" max="12292" width="16.23046875" style="35" customWidth="1"/>
    <col min="12293" max="12293" width="13.84375" style="35" customWidth="1"/>
    <col min="12294" max="12298" width="16.15234375" style="35" customWidth="1"/>
    <col min="12299" max="12299" width="14.4609375" style="35" customWidth="1"/>
    <col min="12300" max="12300" width="10.15234375" style="35" customWidth="1"/>
    <col min="12301" max="12301" width="14.4609375" style="35" customWidth="1"/>
    <col min="12302" max="12303" width="18.84375" style="35" customWidth="1"/>
    <col min="12304" max="12304" width="14.69140625" style="35" customWidth="1"/>
    <col min="12305" max="12305" width="9.23046875" style="35" customWidth="1"/>
    <col min="12306" max="12529" width="8.84375" style="35"/>
    <col min="12530" max="12530" width="17.4609375" style="35" customWidth="1"/>
    <col min="12531" max="12531" width="30.69140625" style="35" customWidth="1"/>
    <col min="12532" max="12532" width="24.53515625" style="35" customWidth="1"/>
    <col min="12533" max="12533" width="30.53515625" style="35" customWidth="1"/>
    <col min="12534" max="12534" width="27.15234375" style="35" customWidth="1"/>
    <col min="12535" max="12535" width="34" style="35" customWidth="1"/>
    <col min="12536" max="12536" width="31.4609375" style="35" customWidth="1"/>
    <col min="12537" max="12537" width="82.15234375" style="35" customWidth="1"/>
    <col min="12538" max="12538" width="23.15234375" style="35" customWidth="1"/>
    <col min="12539" max="12539" width="14.69140625" style="35" customWidth="1"/>
    <col min="12540" max="12540" width="10.15234375" style="35" customWidth="1"/>
    <col min="12541" max="12541" width="15.84375" style="35" customWidth="1"/>
    <col min="12542" max="12542" width="9.84375" style="35" customWidth="1"/>
    <col min="12543" max="12543" width="14" style="35" customWidth="1"/>
    <col min="12544" max="12544" width="14.53515625" style="35" customWidth="1"/>
    <col min="12545" max="12545" width="9.53515625" style="35" customWidth="1"/>
    <col min="12546" max="12546" width="14.53515625" style="35" customWidth="1"/>
    <col min="12547" max="12548" width="16.23046875" style="35" customWidth="1"/>
    <col min="12549" max="12549" width="13.84375" style="35" customWidth="1"/>
    <col min="12550" max="12554" width="16.15234375" style="35" customWidth="1"/>
    <col min="12555" max="12555" width="14.4609375" style="35" customWidth="1"/>
    <col min="12556" max="12556" width="10.15234375" style="35" customWidth="1"/>
    <col min="12557" max="12557" width="14.4609375" style="35" customWidth="1"/>
    <col min="12558" max="12559" width="18.84375" style="35" customWidth="1"/>
    <col min="12560" max="12560" width="14.69140625" style="35" customWidth="1"/>
    <col min="12561" max="12561" width="9.23046875" style="35" customWidth="1"/>
    <col min="12562" max="12785" width="8.84375" style="35"/>
    <col min="12786" max="12786" width="17.4609375" style="35" customWidth="1"/>
    <col min="12787" max="12787" width="30.69140625" style="35" customWidth="1"/>
    <col min="12788" max="12788" width="24.53515625" style="35" customWidth="1"/>
    <col min="12789" max="12789" width="30.53515625" style="35" customWidth="1"/>
    <col min="12790" max="12790" width="27.15234375" style="35" customWidth="1"/>
    <col min="12791" max="12791" width="34" style="35" customWidth="1"/>
    <col min="12792" max="12792" width="31.4609375" style="35" customWidth="1"/>
    <col min="12793" max="12793" width="82.15234375" style="35" customWidth="1"/>
    <col min="12794" max="12794" width="23.15234375" style="35" customWidth="1"/>
    <col min="12795" max="12795" width="14.69140625" style="35" customWidth="1"/>
    <col min="12796" max="12796" width="10.15234375" style="35" customWidth="1"/>
    <col min="12797" max="12797" width="15.84375" style="35" customWidth="1"/>
    <col min="12798" max="12798" width="9.84375" style="35" customWidth="1"/>
    <col min="12799" max="12799" width="14" style="35" customWidth="1"/>
    <col min="12800" max="12800" width="14.53515625" style="35" customWidth="1"/>
    <col min="12801" max="12801" width="9.53515625" style="35" customWidth="1"/>
    <col min="12802" max="12802" width="14.53515625" style="35" customWidth="1"/>
    <col min="12803" max="12804" width="16.23046875" style="35" customWidth="1"/>
    <col min="12805" max="12805" width="13.84375" style="35" customWidth="1"/>
    <col min="12806" max="12810" width="16.15234375" style="35" customWidth="1"/>
    <col min="12811" max="12811" width="14.4609375" style="35" customWidth="1"/>
    <col min="12812" max="12812" width="10.15234375" style="35" customWidth="1"/>
    <col min="12813" max="12813" width="14.4609375" style="35" customWidth="1"/>
    <col min="12814" max="12815" width="18.84375" style="35" customWidth="1"/>
    <col min="12816" max="12816" width="14.69140625" style="35" customWidth="1"/>
    <col min="12817" max="12817" width="9.23046875" style="35" customWidth="1"/>
    <col min="12818" max="13041" width="8.84375" style="35"/>
    <col min="13042" max="13042" width="17.4609375" style="35" customWidth="1"/>
    <col min="13043" max="13043" width="30.69140625" style="35" customWidth="1"/>
    <col min="13044" max="13044" width="24.53515625" style="35" customWidth="1"/>
    <col min="13045" max="13045" width="30.53515625" style="35" customWidth="1"/>
    <col min="13046" max="13046" width="27.15234375" style="35" customWidth="1"/>
    <col min="13047" max="13047" width="34" style="35" customWidth="1"/>
    <col min="13048" max="13048" width="31.4609375" style="35" customWidth="1"/>
    <col min="13049" max="13049" width="82.15234375" style="35" customWidth="1"/>
    <col min="13050" max="13050" width="23.15234375" style="35" customWidth="1"/>
    <col min="13051" max="13051" width="14.69140625" style="35" customWidth="1"/>
    <col min="13052" max="13052" width="10.15234375" style="35" customWidth="1"/>
    <col min="13053" max="13053" width="15.84375" style="35" customWidth="1"/>
    <col min="13054" max="13054" width="9.84375" style="35" customWidth="1"/>
    <col min="13055" max="13055" width="14" style="35" customWidth="1"/>
    <col min="13056" max="13056" width="14.53515625" style="35" customWidth="1"/>
    <col min="13057" max="13057" width="9.53515625" style="35" customWidth="1"/>
    <col min="13058" max="13058" width="14.53515625" style="35" customWidth="1"/>
    <col min="13059" max="13060" width="16.23046875" style="35" customWidth="1"/>
    <col min="13061" max="13061" width="13.84375" style="35" customWidth="1"/>
    <col min="13062" max="13066" width="16.15234375" style="35" customWidth="1"/>
    <col min="13067" max="13067" width="14.4609375" style="35" customWidth="1"/>
    <col min="13068" max="13068" width="10.15234375" style="35" customWidth="1"/>
    <col min="13069" max="13069" width="14.4609375" style="35" customWidth="1"/>
    <col min="13070" max="13071" width="18.84375" style="35" customWidth="1"/>
    <col min="13072" max="13072" width="14.69140625" style="35" customWidth="1"/>
    <col min="13073" max="13073" width="9.23046875" style="35" customWidth="1"/>
    <col min="13074" max="13297" width="8.84375" style="35"/>
    <col min="13298" max="13298" width="17.4609375" style="35" customWidth="1"/>
    <col min="13299" max="13299" width="30.69140625" style="35" customWidth="1"/>
    <col min="13300" max="13300" width="24.53515625" style="35" customWidth="1"/>
    <col min="13301" max="13301" width="30.53515625" style="35" customWidth="1"/>
    <col min="13302" max="13302" width="27.15234375" style="35" customWidth="1"/>
    <col min="13303" max="13303" width="34" style="35" customWidth="1"/>
    <col min="13304" max="13304" width="31.4609375" style="35" customWidth="1"/>
    <col min="13305" max="13305" width="82.15234375" style="35" customWidth="1"/>
    <col min="13306" max="13306" width="23.15234375" style="35" customWidth="1"/>
    <col min="13307" max="13307" width="14.69140625" style="35" customWidth="1"/>
    <col min="13308" max="13308" width="10.15234375" style="35" customWidth="1"/>
    <col min="13309" max="13309" width="15.84375" style="35" customWidth="1"/>
    <col min="13310" max="13310" width="9.84375" style="35" customWidth="1"/>
    <col min="13311" max="13311" width="14" style="35" customWidth="1"/>
    <col min="13312" max="13312" width="14.53515625" style="35" customWidth="1"/>
    <col min="13313" max="13313" width="9.53515625" style="35" customWidth="1"/>
    <col min="13314" max="13314" width="14.53515625" style="35" customWidth="1"/>
    <col min="13315" max="13316" width="16.23046875" style="35" customWidth="1"/>
    <col min="13317" max="13317" width="13.84375" style="35" customWidth="1"/>
    <col min="13318" max="13322" width="16.15234375" style="35" customWidth="1"/>
    <col min="13323" max="13323" width="14.4609375" style="35" customWidth="1"/>
    <col min="13324" max="13324" width="10.15234375" style="35" customWidth="1"/>
    <col min="13325" max="13325" width="14.4609375" style="35" customWidth="1"/>
    <col min="13326" max="13327" width="18.84375" style="35" customWidth="1"/>
    <col min="13328" max="13328" width="14.69140625" style="35" customWidth="1"/>
    <col min="13329" max="13329" width="9.23046875" style="35" customWidth="1"/>
    <col min="13330" max="13553" width="8.84375" style="35"/>
    <col min="13554" max="13554" width="17.4609375" style="35" customWidth="1"/>
    <col min="13555" max="13555" width="30.69140625" style="35" customWidth="1"/>
    <col min="13556" max="13556" width="24.53515625" style="35" customWidth="1"/>
    <col min="13557" max="13557" width="30.53515625" style="35" customWidth="1"/>
    <col min="13558" max="13558" width="27.15234375" style="35" customWidth="1"/>
    <col min="13559" max="13559" width="34" style="35" customWidth="1"/>
    <col min="13560" max="13560" width="31.4609375" style="35" customWidth="1"/>
    <col min="13561" max="13561" width="82.15234375" style="35" customWidth="1"/>
    <col min="13562" max="13562" width="23.15234375" style="35" customWidth="1"/>
    <col min="13563" max="13563" width="14.69140625" style="35" customWidth="1"/>
    <col min="13564" max="13564" width="10.15234375" style="35" customWidth="1"/>
    <col min="13565" max="13565" width="15.84375" style="35" customWidth="1"/>
    <col min="13566" max="13566" width="9.84375" style="35" customWidth="1"/>
    <col min="13567" max="13567" width="14" style="35" customWidth="1"/>
    <col min="13568" max="13568" width="14.53515625" style="35" customWidth="1"/>
    <col min="13569" max="13569" width="9.53515625" style="35" customWidth="1"/>
    <col min="13570" max="13570" width="14.53515625" style="35" customWidth="1"/>
    <col min="13571" max="13572" width="16.23046875" style="35" customWidth="1"/>
    <col min="13573" max="13573" width="13.84375" style="35" customWidth="1"/>
    <col min="13574" max="13578" width="16.15234375" style="35" customWidth="1"/>
    <col min="13579" max="13579" width="14.4609375" style="35" customWidth="1"/>
    <col min="13580" max="13580" width="10.15234375" style="35" customWidth="1"/>
    <col min="13581" max="13581" width="14.4609375" style="35" customWidth="1"/>
    <col min="13582" max="13583" width="18.84375" style="35" customWidth="1"/>
    <col min="13584" max="13584" width="14.69140625" style="35" customWidth="1"/>
    <col min="13585" max="13585" width="9.23046875" style="35" customWidth="1"/>
    <col min="13586" max="13809" width="8.84375" style="35"/>
    <col min="13810" max="13810" width="17.4609375" style="35" customWidth="1"/>
    <col min="13811" max="13811" width="30.69140625" style="35" customWidth="1"/>
    <col min="13812" max="13812" width="24.53515625" style="35" customWidth="1"/>
    <col min="13813" max="13813" width="30.53515625" style="35" customWidth="1"/>
    <col min="13814" max="13814" width="27.15234375" style="35" customWidth="1"/>
    <col min="13815" max="13815" width="34" style="35" customWidth="1"/>
    <col min="13816" max="13816" width="31.4609375" style="35" customWidth="1"/>
    <col min="13817" max="13817" width="82.15234375" style="35" customWidth="1"/>
    <col min="13818" max="13818" width="23.15234375" style="35" customWidth="1"/>
    <col min="13819" max="13819" width="14.69140625" style="35" customWidth="1"/>
    <col min="13820" max="13820" width="10.15234375" style="35" customWidth="1"/>
    <col min="13821" max="13821" width="15.84375" style="35" customWidth="1"/>
    <col min="13822" max="13822" width="9.84375" style="35" customWidth="1"/>
    <col min="13823" max="13823" width="14" style="35" customWidth="1"/>
    <col min="13824" max="13824" width="14.53515625" style="35" customWidth="1"/>
    <col min="13825" max="13825" width="9.53515625" style="35" customWidth="1"/>
    <col min="13826" max="13826" width="14.53515625" style="35" customWidth="1"/>
    <col min="13827" max="13828" width="16.23046875" style="35" customWidth="1"/>
    <col min="13829" max="13829" width="13.84375" style="35" customWidth="1"/>
    <col min="13830" max="13834" width="16.15234375" style="35" customWidth="1"/>
    <col min="13835" max="13835" width="14.4609375" style="35" customWidth="1"/>
    <col min="13836" max="13836" width="10.15234375" style="35" customWidth="1"/>
    <col min="13837" max="13837" width="14.4609375" style="35" customWidth="1"/>
    <col min="13838" max="13839" width="18.84375" style="35" customWidth="1"/>
    <col min="13840" max="13840" width="14.69140625" style="35" customWidth="1"/>
    <col min="13841" max="13841" width="9.23046875" style="35" customWidth="1"/>
    <col min="13842" max="14065" width="8.84375" style="35"/>
    <col min="14066" max="14066" width="17.4609375" style="35" customWidth="1"/>
    <col min="14067" max="14067" width="30.69140625" style="35" customWidth="1"/>
    <col min="14068" max="14068" width="24.53515625" style="35" customWidth="1"/>
    <col min="14069" max="14069" width="30.53515625" style="35" customWidth="1"/>
    <col min="14070" max="14070" width="27.15234375" style="35" customWidth="1"/>
    <col min="14071" max="14071" width="34" style="35" customWidth="1"/>
    <col min="14072" max="14072" width="31.4609375" style="35" customWidth="1"/>
    <col min="14073" max="14073" width="82.15234375" style="35" customWidth="1"/>
    <col min="14074" max="14074" width="23.15234375" style="35" customWidth="1"/>
    <col min="14075" max="14075" width="14.69140625" style="35" customWidth="1"/>
    <col min="14076" max="14076" width="10.15234375" style="35" customWidth="1"/>
    <col min="14077" max="14077" width="15.84375" style="35" customWidth="1"/>
    <col min="14078" max="14078" width="9.84375" style="35" customWidth="1"/>
    <col min="14079" max="14079" width="14" style="35" customWidth="1"/>
    <col min="14080" max="14080" width="14.53515625" style="35" customWidth="1"/>
    <col min="14081" max="14081" width="9.53515625" style="35" customWidth="1"/>
    <col min="14082" max="14082" width="14.53515625" style="35" customWidth="1"/>
    <col min="14083" max="14084" width="16.23046875" style="35" customWidth="1"/>
    <col min="14085" max="14085" width="13.84375" style="35" customWidth="1"/>
    <col min="14086" max="14090" width="16.15234375" style="35" customWidth="1"/>
    <col min="14091" max="14091" width="14.4609375" style="35" customWidth="1"/>
    <col min="14092" max="14092" width="10.15234375" style="35" customWidth="1"/>
    <col min="14093" max="14093" width="14.4609375" style="35" customWidth="1"/>
    <col min="14094" max="14095" width="18.84375" style="35" customWidth="1"/>
    <col min="14096" max="14096" width="14.69140625" style="35" customWidth="1"/>
    <col min="14097" max="14097" width="9.23046875" style="35" customWidth="1"/>
    <col min="14098" max="14321" width="8.84375" style="35"/>
    <col min="14322" max="14322" width="17.4609375" style="35" customWidth="1"/>
    <col min="14323" max="14323" width="30.69140625" style="35" customWidth="1"/>
    <col min="14324" max="14324" width="24.53515625" style="35" customWidth="1"/>
    <col min="14325" max="14325" width="30.53515625" style="35" customWidth="1"/>
    <col min="14326" max="14326" width="27.15234375" style="35" customWidth="1"/>
    <col min="14327" max="14327" width="34" style="35" customWidth="1"/>
    <col min="14328" max="14328" width="31.4609375" style="35" customWidth="1"/>
    <col min="14329" max="14329" width="82.15234375" style="35" customWidth="1"/>
    <col min="14330" max="14330" width="23.15234375" style="35" customWidth="1"/>
    <col min="14331" max="14331" width="14.69140625" style="35" customWidth="1"/>
    <col min="14332" max="14332" width="10.15234375" style="35" customWidth="1"/>
    <col min="14333" max="14333" width="15.84375" style="35" customWidth="1"/>
    <col min="14334" max="14334" width="9.84375" style="35" customWidth="1"/>
    <col min="14335" max="14335" width="14" style="35" customWidth="1"/>
    <col min="14336" max="14336" width="14.53515625" style="35" customWidth="1"/>
    <col min="14337" max="14337" width="9.53515625" style="35" customWidth="1"/>
    <col min="14338" max="14338" width="14.53515625" style="35" customWidth="1"/>
    <col min="14339" max="14340" width="16.23046875" style="35" customWidth="1"/>
    <col min="14341" max="14341" width="13.84375" style="35" customWidth="1"/>
    <col min="14342" max="14346" width="16.15234375" style="35" customWidth="1"/>
    <col min="14347" max="14347" width="14.4609375" style="35" customWidth="1"/>
    <col min="14348" max="14348" width="10.15234375" style="35" customWidth="1"/>
    <col min="14349" max="14349" width="14.4609375" style="35" customWidth="1"/>
    <col min="14350" max="14351" width="18.84375" style="35" customWidth="1"/>
    <col min="14352" max="14352" width="14.69140625" style="35" customWidth="1"/>
    <col min="14353" max="14353" width="9.23046875" style="35" customWidth="1"/>
    <col min="14354" max="14577" width="8.84375" style="35"/>
    <col min="14578" max="14578" width="17.4609375" style="35" customWidth="1"/>
    <col min="14579" max="14579" width="30.69140625" style="35" customWidth="1"/>
    <col min="14580" max="14580" width="24.53515625" style="35" customWidth="1"/>
    <col min="14581" max="14581" width="30.53515625" style="35" customWidth="1"/>
    <col min="14582" max="14582" width="27.15234375" style="35" customWidth="1"/>
    <col min="14583" max="14583" width="34" style="35" customWidth="1"/>
    <col min="14584" max="14584" width="31.4609375" style="35" customWidth="1"/>
    <col min="14585" max="14585" width="82.15234375" style="35" customWidth="1"/>
    <col min="14586" max="14586" width="23.15234375" style="35" customWidth="1"/>
    <col min="14587" max="14587" width="14.69140625" style="35" customWidth="1"/>
    <col min="14588" max="14588" width="10.15234375" style="35" customWidth="1"/>
    <col min="14589" max="14589" width="15.84375" style="35" customWidth="1"/>
    <col min="14590" max="14590" width="9.84375" style="35" customWidth="1"/>
    <col min="14591" max="14591" width="14" style="35" customWidth="1"/>
    <col min="14592" max="14592" width="14.53515625" style="35" customWidth="1"/>
    <col min="14593" max="14593" width="9.53515625" style="35" customWidth="1"/>
    <col min="14594" max="14594" width="14.53515625" style="35" customWidth="1"/>
    <col min="14595" max="14596" width="16.23046875" style="35" customWidth="1"/>
    <col min="14597" max="14597" width="13.84375" style="35" customWidth="1"/>
    <col min="14598" max="14602" width="16.15234375" style="35" customWidth="1"/>
    <col min="14603" max="14603" width="14.4609375" style="35" customWidth="1"/>
    <col min="14604" max="14604" width="10.15234375" style="35" customWidth="1"/>
    <col min="14605" max="14605" width="14.4609375" style="35" customWidth="1"/>
    <col min="14606" max="14607" width="18.84375" style="35" customWidth="1"/>
    <col min="14608" max="14608" width="14.69140625" style="35" customWidth="1"/>
    <col min="14609" max="14609" width="9.23046875" style="35" customWidth="1"/>
    <col min="14610" max="14833" width="8.84375" style="35"/>
    <col min="14834" max="14834" width="17.4609375" style="35" customWidth="1"/>
    <col min="14835" max="14835" width="30.69140625" style="35" customWidth="1"/>
    <col min="14836" max="14836" width="24.53515625" style="35" customWidth="1"/>
    <col min="14837" max="14837" width="30.53515625" style="35" customWidth="1"/>
    <col min="14838" max="14838" width="27.15234375" style="35" customWidth="1"/>
    <col min="14839" max="14839" width="34" style="35" customWidth="1"/>
    <col min="14840" max="14840" width="31.4609375" style="35" customWidth="1"/>
    <col min="14841" max="14841" width="82.15234375" style="35" customWidth="1"/>
    <col min="14842" max="14842" width="23.15234375" style="35" customWidth="1"/>
    <col min="14843" max="14843" width="14.69140625" style="35" customWidth="1"/>
    <col min="14844" max="14844" width="10.15234375" style="35" customWidth="1"/>
    <col min="14845" max="14845" width="15.84375" style="35" customWidth="1"/>
    <col min="14846" max="14846" width="9.84375" style="35" customWidth="1"/>
    <col min="14847" max="14847" width="14" style="35" customWidth="1"/>
    <col min="14848" max="14848" width="14.53515625" style="35" customWidth="1"/>
    <col min="14849" max="14849" width="9.53515625" style="35" customWidth="1"/>
    <col min="14850" max="14850" width="14.53515625" style="35" customWidth="1"/>
    <col min="14851" max="14852" width="16.23046875" style="35" customWidth="1"/>
    <col min="14853" max="14853" width="13.84375" style="35" customWidth="1"/>
    <col min="14854" max="14858" width="16.15234375" style="35" customWidth="1"/>
    <col min="14859" max="14859" width="14.4609375" style="35" customWidth="1"/>
    <col min="14860" max="14860" width="10.15234375" style="35" customWidth="1"/>
    <col min="14861" max="14861" width="14.4609375" style="35" customWidth="1"/>
    <col min="14862" max="14863" width="18.84375" style="35" customWidth="1"/>
    <col min="14864" max="14864" width="14.69140625" style="35" customWidth="1"/>
    <col min="14865" max="14865" width="9.23046875" style="35" customWidth="1"/>
    <col min="14866" max="15089" width="8.84375" style="35"/>
    <col min="15090" max="15090" width="17.4609375" style="35" customWidth="1"/>
    <col min="15091" max="15091" width="30.69140625" style="35" customWidth="1"/>
    <col min="15092" max="15092" width="24.53515625" style="35" customWidth="1"/>
    <col min="15093" max="15093" width="30.53515625" style="35" customWidth="1"/>
    <col min="15094" max="15094" width="27.15234375" style="35" customWidth="1"/>
    <col min="15095" max="15095" width="34" style="35" customWidth="1"/>
    <col min="15096" max="15096" width="31.4609375" style="35" customWidth="1"/>
    <col min="15097" max="15097" width="82.15234375" style="35" customWidth="1"/>
    <col min="15098" max="15098" width="23.15234375" style="35" customWidth="1"/>
    <col min="15099" max="15099" width="14.69140625" style="35" customWidth="1"/>
    <col min="15100" max="15100" width="10.15234375" style="35" customWidth="1"/>
    <col min="15101" max="15101" width="15.84375" style="35" customWidth="1"/>
    <col min="15102" max="15102" width="9.84375" style="35" customWidth="1"/>
    <col min="15103" max="15103" width="14" style="35" customWidth="1"/>
    <col min="15104" max="15104" width="14.53515625" style="35" customWidth="1"/>
    <col min="15105" max="15105" width="9.53515625" style="35" customWidth="1"/>
    <col min="15106" max="15106" width="14.53515625" style="35" customWidth="1"/>
    <col min="15107" max="15108" width="16.23046875" style="35" customWidth="1"/>
    <col min="15109" max="15109" width="13.84375" style="35" customWidth="1"/>
    <col min="15110" max="15114" width="16.15234375" style="35" customWidth="1"/>
    <col min="15115" max="15115" width="14.4609375" style="35" customWidth="1"/>
    <col min="15116" max="15116" width="10.15234375" style="35" customWidth="1"/>
    <col min="15117" max="15117" width="14.4609375" style="35" customWidth="1"/>
    <col min="15118" max="15119" width="18.84375" style="35" customWidth="1"/>
    <col min="15120" max="15120" width="14.69140625" style="35" customWidth="1"/>
    <col min="15121" max="15121" width="9.23046875" style="35" customWidth="1"/>
    <col min="15122" max="15345" width="8.84375" style="35"/>
    <col min="15346" max="15346" width="17.4609375" style="35" customWidth="1"/>
    <col min="15347" max="15347" width="30.69140625" style="35" customWidth="1"/>
    <col min="15348" max="15348" width="24.53515625" style="35" customWidth="1"/>
    <col min="15349" max="15349" width="30.53515625" style="35" customWidth="1"/>
    <col min="15350" max="15350" width="27.15234375" style="35" customWidth="1"/>
    <col min="15351" max="15351" width="34" style="35" customWidth="1"/>
    <col min="15352" max="15352" width="31.4609375" style="35" customWidth="1"/>
    <col min="15353" max="15353" width="82.15234375" style="35" customWidth="1"/>
    <col min="15354" max="15354" width="23.15234375" style="35" customWidth="1"/>
    <col min="15355" max="15355" width="14.69140625" style="35" customWidth="1"/>
    <col min="15356" max="15356" width="10.15234375" style="35" customWidth="1"/>
    <col min="15357" max="15357" width="15.84375" style="35" customWidth="1"/>
    <col min="15358" max="15358" width="9.84375" style="35" customWidth="1"/>
    <col min="15359" max="15359" width="14" style="35" customWidth="1"/>
    <col min="15360" max="15360" width="14.53515625" style="35" customWidth="1"/>
    <col min="15361" max="15361" width="9.53515625" style="35" customWidth="1"/>
    <col min="15362" max="15362" width="14.53515625" style="35" customWidth="1"/>
    <col min="15363" max="15364" width="16.23046875" style="35" customWidth="1"/>
    <col min="15365" max="15365" width="13.84375" style="35" customWidth="1"/>
    <col min="15366" max="15370" width="16.15234375" style="35" customWidth="1"/>
    <col min="15371" max="15371" width="14.4609375" style="35" customWidth="1"/>
    <col min="15372" max="15372" width="10.15234375" style="35" customWidth="1"/>
    <col min="15373" max="15373" width="14.4609375" style="35" customWidth="1"/>
    <col min="15374" max="15375" width="18.84375" style="35" customWidth="1"/>
    <col min="15376" max="15376" width="14.69140625" style="35" customWidth="1"/>
    <col min="15377" max="15377" width="9.23046875" style="35" customWidth="1"/>
    <col min="15378" max="15601" width="8.84375" style="35"/>
    <col min="15602" max="15602" width="17.4609375" style="35" customWidth="1"/>
    <col min="15603" max="15603" width="30.69140625" style="35" customWidth="1"/>
    <col min="15604" max="15604" width="24.53515625" style="35" customWidth="1"/>
    <col min="15605" max="15605" width="30.53515625" style="35" customWidth="1"/>
    <col min="15606" max="15606" width="27.15234375" style="35" customWidth="1"/>
    <col min="15607" max="15607" width="34" style="35" customWidth="1"/>
    <col min="15608" max="15608" width="31.4609375" style="35" customWidth="1"/>
    <col min="15609" max="15609" width="82.15234375" style="35" customWidth="1"/>
    <col min="15610" max="15610" width="23.15234375" style="35" customWidth="1"/>
    <col min="15611" max="15611" width="14.69140625" style="35" customWidth="1"/>
    <col min="15612" max="15612" width="10.15234375" style="35" customWidth="1"/>
    <col min="15613" max="15613" width="15.84375" style="35" customWidth="1"/>
    <col min="15614" max="15614" width="9.84375" style="35" customWidth="1"/>
    <col min="15615" max="15615" width="14" style="35" customWidth="1"/>
    <col min="15616" max="15616" width="14.53515625" style="35" customWidth="1"/>
    <col min="15617" max="15617" width="9.53515625" style="35" customWidth="1"/>
    <col min="15618" max="15618" width="14.53515625" style="35" customWidth="1"/>
    <col min="15619" max="15620" width="16.23046875" style="35" customWidth="1"/>
    <col min="15621" max="15621" width="13.84375" style="35" customWidth="1"/>
    <col min="15622" max="15626" width="16.15234375" style="35" customWidth="1"/>
    <col min="15627" max="15627" width="14.4609375" style="35" customWidth="1"/>
    <col min="15628" max="15628" width="10.15234375" style="35" customWidth="1"/>
    <col min="15629" max="15629" width="14.4609375" style="35" customWidth="1"/>
    <col min="15630" max="15631" width="18.84375" style="35" customWidth="1"/>
    <col min="15632" max="15632" width="14.69140625" style="35" customWidth="1"/>
    <col min="15633" max="15633" width="9.23046875" style="35" customWidth="1"/>
    <col min="15634" max="15857" width="8.84375" style="35"/>
    <col min="15858" max="15858" width="17.4609375" style="35" customWidth="1"/>
    <col min="15859" max="15859" width="30.69140625" style="35" customWidth="1"/>
    <col min="15860" max="15860" width="24.53515625" style="35" customWidth="1"/>
    <col min="15861" max="15861" width="30.53515625" style="35" customWidth="1"/>
    <col min="15862" max="15862" width="27.15234375" style="35" customWidth="1"/>
    <col min="15863" max="15863" width="34" style="35" customWidth="1"/>
    <col min="15864" max="15864" width="31.4609375" style="35" customWidth="1"/>
    <col min="15865" max="15865" width="82.15234375" style="35" customWidth="1"/>
    <col min="15866" max="15866" width="23.15234375" style="35" customWidth="1"/>
    <col min="15867" max="15867" width="14.69140625" style="35" customWidth="1"/>
    <col min="15868" max="15868" width="10.15234375" style="35" customWidth="1"/>
    <col min="15869" max="15869" width="15.84375" style="35" customWidth="1"/>
    <col min="15870" max="15870" width="9.84375" style="35" customWidth="1"/>
    <col min="15871" max="15871" width="14" style="35" customWidth="1"/>
    <col min="15872" max="15872" width="14.53515625" style="35" customWidth="1"/>
    <col min="15873" max="15873" width="9.53515625" style="35" customWidth="1"/>
    <col min="15874" max="15874" width="14.53515625" style="35" customWidth="1"/>
    <col min="15875" max="15876" width="16.23046875" style="35" customWidth="1"/>
    <col min="15877" max="15877" width="13.84375" style="35" customWidth="1"/>
    <col min="15878" max="15882" width="16.15234375" style="35" customWidth="1"/>
    <col min="15883" max="15883" width="14.4609375" style="35" customWidth="1"/>
    <col min="15884" max="15884" width="10.15234375" style="35" customWidth="1"/>
    <col min="15885" max="15885" width="14.4609375" style="35" customWidth="1"/>
    <col min="15886" max="15887" width="18.84375" style="35" customWidth="1"/>
    <col min="15888" max="15888" width="14.69140625" style="35" customWidth="1"/>
    <col min="15889" max="15889" width="9.23046875" style="35" customWidth="1"/>
    <col min="15890" max="16113" width="8.84375" style="35"/>
    <col min="16114" max="16114" width="17.4609375" style="35" customWidth="1"/>
    <col min="16115" max="16115" width="30.69140625" style="35" customWidth="1"/>
    <col min="16116" max="16116" width="24.53515625" style="35" customWidth="1"/>
    <col min="16117" max="16117" width="30.53515625" style="35" customWidth="1"/>
    <col min="16118" max="16118" width="27.15234375" style="35" customWidth="1"/>
    <col min="16119" max="16119" width="34" style="35" customWidth="1"/>
    <col min="16120" max="16120" width="31.4609375" style="35" customWidth="1"/>
    <col min="16121" max="16121" width="82.15234375" style="35" customWidth="1"/>
    <col min="16122" max="16122" width="23.15234375" style="35" customWidth="1"/>
    <col min="16123" max="16123" width="14.69140625" style="35" customWidth="1"/>
    <col min="16124" max="16124" width="10.15234375" style="35" customWidth="1"/>
    <col min="16125" max="16125" width="15.84375" style="35" customWidth="1"/>
    <col min="16126" max="16126" width="9.84375" style="35" customWidth="1"/>
    <col min="16127" max="16127" width="14" style="35" customWidth="1"/>
    <col min="16128" max="16128" width="14.53515625" style="35" customWidth="1"/>
    <col min="16129" max="16129" width="9.53515625" style="35" customWidth="1"/>
    <col min="16130" max="16130" width="14.53515625" style="35" customWidth="1"/>
    <col min="16131" max="16132" width="16.23046875" style="35" customWidth="1"/>
    <col min="16133" max="16133" width="13.84375" style="35" customWidth="1"/>
    <col min="16134" max="16138" width="16.15234375" style="35" customWidth="1"/>
    <col min="16139" max="16139" width="14.4609375" style="35" customWidth="1"/>
    <col min="16140" max="16140" width="10.15234375" style="35" customWidth="1"/>
    <col min="16141" max="16141" width="14.4609375" style="35" customWidth="1"/>
    <col min="16142" max="16143" width="18.84375" style="35" customWidth="1"/>
    <col min="16144" max="16144" width="14.69140625" style="35" customWidth="1"/>
    <col min="16145" max="16145" width="9.23046875" style="35" customWidth="1"/>
    <col min="16146" max="16360" width="8.84375" style="35"/>
    <col min="16361" max="16384" width="9.15234375" style="35" customWidth="1"/>
  </cols>
  <sheetData>
    <row r="1" spans="1:33" ht="15.45" customHeight="1" thickBot="1" x14ac:dyDescent="0.55000000000000004">
      <c r="A1" s="33"/>
      <c r="B1" s="33"/>
      <c r="C1" s="34"/>
      <c r="D1" s="34"/>
      <c r="E1" s="34"/>
      <c r="F1" s="34"/>
      <c r="G1" s="33"/>
      <c r="H1" s="33"/>
    </row>
    <row r="2" spans="1:33" ht="33" customHeight="1" thickBot="1" x14ac:dyDescent="0.45">
      <c r="A2" s="33"/>
      <c r="B2" s="36" t="str">
        <f>Date!B2</f>
        <v>010119</v>
      </c>
      <c r="C2" s="238">
        <v>-9</v>
      </c>
      <c r="D2" s="238"/>
      <c r="E2" s="239"/>
      <c r="F2" s="240" t="s">
        <v>138</v>
      </c>
      <c r="G2" s="241"/>
      <c r="H2" s="37"/>
      <c r="AB2" s="38"/>
      <c r="AC2" s="2"/>
      <c r="AD2" s="21"/>
    </row>
    <row r="3" spans="1:33" ht="41.25" customHeight="1" thickBot="1" x14ac:dyDescent="0.8">
      <c r="A3" s="33"/>
      <c r="B3" s="242" t="s">
        <v>165</v>
      </c>
      <c r="C3" s="243"/>
      <c r="D3" s="243"/>
      <c r="E3" s="244"/>
      <c r="F3" s="39" t="s">
        <v>101</v>
      </c>
      <c r="G3" s="40">
        <v>10</v>
      </c>
      <c r="H3" s="37"/>
      <c r="AB3" s="38"/>
      <c r="AC3" s="2"/>
      <c r="AD3" s="21"/>
    </row>
    <row r="4" spans="1:33" ht="32.6" x14ac:dyDescent="0.7">
      <c r="A4" s="33"/>
      <c r="B4" s="245" t="s">
        <v>114</v>
      </c>
      <c r="C4" s="246"/>
      <c r="D4" s="247" t="s">
        <v>12</v>
      </c>
      <c r="E4" s="248"/>
      <c r="F4" s="249" t="s">
        <v>184</v>
      </c>
      <c r="G4" s="250"/>
      <c r="H4" s="41"/>
      <c r="W4" s="235"/>
      <c r="X4" s="235"/>
      <c r="Y4" s="235"/>
      <c r="Z4" s="65"/>
      <c r="AA4" s="236"/>
      <c r="AB4" s="236"/>
      <c r="AC4" s="237"/>
    </row>
    <row r="5" spans="1:33" ht="18" customHeight="1" thickBot="1" x14ac:dyDescent="0.55000000000000004">
      <c r="A5" s="33"/>
      <c r="B5" s="145">
        <f>SUM(B7/C7)</f>
        <v>4.2045477227214478</v>
      </c>
      <c r="C5" s="146" t="s">
        <v>13</v>
      </c>
      <c r="D5" s="253">
        <f>SUM(D7+E7+D9+E9+D11+E11)</f>
        <v>0.2955477613228894</v>
      </c>
      <c r="E5" s="254"/>
      <c r="F5" s="255">
        <f>SUM(F7+G7+F9+G9+G13+F11+G11+F13+AG13)</f>
        <v>0.7044522386771106</v>
      </c>
      <c r="G5" s="256"/>
      <c r="H5" s="41"/>
      <c r="W5" s="235"/>
      <c r="X5" s="235"/>
      <c r="Y5" s="235"/>
      <c r="Z5" s="65"/>
      <c r="AA5" s="236"/>
      <c r="AB5" s="236"/>
      <c r="AC5" s="237"/>
    </row>
    <row r="6" spans="1:33" ht="24" customHeight="1" x14ac:dyDescent="0.3">
      <c r="A6" s="33"/>
      <c r="B6" s="72" t="s">
        <v>126</v>
      </c>
      <c r="C6" s="118" t="s">
        <v>174</v>
      </c>
      <c r="D6" s="84" t="s">
        <v>79</v>
      </c>
      <c r="E6" s="85" t="s">
        <v>80</v>
      </c>
      <c r="F6" s="93" t="s">
        <v>34</v>
      </c>
      <c r="G6" s="122" t="s">
        <v>35</v>
      </c>
      <c r="H6" s="41"/>
      <c r="W6" s="232"/>
      <c r="X6" s="232"/>
      <c r="Y6" s="233"/>
      <c r="Z6" s="233"/>
      <c r="AA6" s="232"/>
      <c r="AB6" s="232"/>
      <c r="AC6" s="234"/>
      <c r="AD6" s="234"/>
    </row>
    <row r="7" spans="1:33" ht="18" customHeight="1" thickBot="1" x14ac:dyDescent="0.55000000000000004">
      <c r="A7" s="33"/>
      <c r="B7" s="73">
        <f>B59</f>
        <v>3.4097786153597855</v>
      </c>
      <c r="C7" s="103">
        <f>SUM(C9+B11+C11)</f>
        <v>0.8109739358964303</v>
      </c>
      <c r="D7" s="215">
        <f>H59</f>
        <v>0.22950916411903957</v>
      </c>
      <c r="E7" s="87">
        <f>I59</f>
        <v>6.6038597203849858E-2</v>
      </c>
      <c r="F7" s="89">
        <f>L59</f>
        <v>2.6578173537677762E-3</v>
      </c>
      <c r="G7" s="91">
        <f>M59</f>
        <v>0.69995496175397232</v>
      </c>
      <c r="H7" s="41"/>
      <c r="W7" s="232"/>
      <c r="X7" s="232"/>
      <c r="Y7" s="233"/>
      <c r="Z7" s="233"/>
      <c r="AA7" s="232"/>
      <c r="AB7" s="232"/>
      <c r="AC7" s="234"/>
      <c r="AD7" s="234"/>
    </row>
    <row r="8" spans="1:33" ht="23.6" x14ac:dyDescent="0.4">
      <c r="A8" s="33"/>
      <c r="B8" s="120" t="s">
        <v>36</v>
      </c>
      <c r="C8" s="68" t="s">
        <v>78</v>
      </c>
      <c r="D8" s="85" t="s">
        <v>37</v>
      </c>
      <c r="E8" s="86" t="s">
        <v>140</v>
      </c>
      <c r="F8" s="94" t="s">
        <v>8</v>
      </c>
      <c r="G8" s="122" t="s">
        <v>9</v>
      </c>
      <c r="H8" s="42"/>
      <c r="W8" s="232"/>
      <c r="X8" s="232"/>
      <c r="Y8" s="233"/>
      <c r="Z8" s="233"/>
      <c r="AA8" s="232"/>
      <c r="AB8" s="232"/>
      <c r="AC8" s="234"/>
      <c r="AD8" s="234"/>
    </row>
    <row r="9" spans="1:33" ht="18.75" customHeight="1" thickBot="1" x14ac:dyDescent="0.55000000000000004">
      <c r="A9" s="33"/>
      <c r="B9" s="121">
        <f>C59</f>
        <v>0</v>
      </c>
      <c r="C9" s="70">
        <f>D59</f>
        <v>0.42410475915289464</v>
      </c>
      <c r="D9" s="87">
        <f>G59</f>
        <v>0</v>
      </c>
      <c r="E9" s="88">
        <f>J59</f>
        <v>0</v>
      </c>
      <c r="F9" s="89">
        <f>N59</f>
        <v>0</v>
      </c>
      <c r="G9" s="91">
        <f>O59</f>
        <v>0</v>
      </c>
      <c r="H9" s="42"/>
      <c r="AB9" s="43"/>
    </row>
    <row r="10" spans="1:33" ht="23.6" x14ac:dyDescent="0.7">
      <c r="A10" s="33"/>
      <c r="B10" s="66" t="s">
        <v>131</v>
      </c>
      <c r="C10" s="69" t="s">
        <v>141</v>
      </c>
      <c r="D10" s="85" t="s">
        <v>142</v>
      </c>
      <c r="E10" s="203" t="s">
        <v>159</v>
      </c>
      <c r="F10" s="92" t="s">
        <v>10</v>
      </c>
      <c r="G10" s="90" t="s">
        <v>189</v>
      </c>
      <c r="H10" s="33"/>
      <c r="AB10" s="44"/>
    </row>
    <row r="11" spans="1:33" ht="20.6" thickBot="1" x14ac:dyDescent="0.55000000000000004">
      <c r="A11" s="33"/>
      <c r="B11" s="67">
        <f>E59</f>
        <v>0.38686917674353566</v>
      </c>
      <c r="C11" s="71">
        <f>F59</f>
        <v>0</v>
      </c>
      <c r="D11" s="87">
        <f>K59</f>
        <v>0</v>
      </c>
      <c r="E11" s="204">
        <f>U59</f>
        <v>0</v>
      </c>
      <c r="F11" s="91">
        <f>P59</f>
        <v>0</v>
      </c>
      <c r="G11" s="91">
        <f>Q59</f>
        <v>1.8394595693704365E-3</v>
      </c>
      <c r="H11" s="33"/>
      <c r="AB11" s="43"/>
    </row>
    <row r="12" spans="1:33" ht="23.6" x14ac:dyDescent="0.7">
      <c r="A12" s="33"/>
      <c r="B12" s="102" t="s">
        <v>163</v>
      </c>
      <c r="C12" s="147" t="s">
        <v>162</v>
      </c>
      <c r="D12" s="119" t="s">
        <v>158</v>
      </c>
      <c r="E12" s="80"/>
      <c r="F12" s="90" t="s">
        <v>129</v>
      </c>
      <c r="G12" s="90" t="s">
        <v>143</v>
      </c>
      <c r="H12" s="33"/>
      <c r="AB12" s="43"/>
      <c r="AG12" s="123"/>
    </row>
    <row r="13" spans="1:33" ht="20.6" thickBot="1" x14ac:dyDescent="0.55000000000000004">
      <c r="A13" s="33"/>
      <c r="B13" s="222">
        <f>W59</f>
        <v>0</v>
      </c>
      <c r="C13" s="81">
        <f>X59</f>
        <v>0</v>
      </c>
      <c r="D13" s="82">
        <f>V59</f>
        <v>0</v>
      </c>
      <c r="E13" s="81"/>
      <c r="F13" s="91">
        <f>R59</f>
        <v>0</v>
      </c>
      <c r="G13" s="91">
        <f>S59</f>
        <v>0</v>
      </c>
      <c r="H13" s="33"/>
      <c r="AB13" s="43"/>
      <c r="AG13" s="123"/>
    </row>
    <row r="14" spans="1:33" ht="37.5" customHeight="1" thickBot="1" x14ac:dyDescent="1.1000000000000001">
      <c r="A14" s="33"/>
      <c r="B14" s="138" t="s">
        <v>81</v>
      </c>
      <c r="C14" s="139"/>
      <c r="D14" s="139"/>
      <c r="E14" s="139"/>
      <c r="F14" s="35"/>
      <c r="G14" s="140"/>
      <c r="H14" s="33"/>
      <c r="AB14" s="43"/>
    </row>
    <row r="15" spans="1:33" ht="25.3" x14ac:dyDescent="0.3">
      <c r="A15" s="33"/>
      <c r="B15" s="141" t="s">
        <v>32</v>
      </c>
      <c r="C15" s="257" t="s">
        <v>31</v>
      </c>
      <c r="D15" s="142"/>
      <c r="E15" s="260" t="s">
        <v>132</v>
      </c>
      <c r="F15" s="136"/>
      <c r="G15" s="263" t="s">
        <v>14</v>
      </c>
      <c r="H15" s="33"/>
      <c r="AB15" s="44"/>
    </row>
    <row r="16" spans="1:33" x14ac:dyDescent="0.3">
      <c r="A16" s="33"/>
      <c r="B16" s="251" t="s">
        <v>33</v>
      </c>
      <c r="C16" s="258"/>
      <c r="D16" s="79" t="s">
        <v>44</v>
      </c>
      <c r="E16" s="261"/>
      <c r="F16" s="79" t="s">
        <v>44</v>
      </c>
      <c r="G16" s="264"/>
      <c r="H16" s="33"/>
      <c r="AE16" s="48"/>
    </row>
    <row r="17" spans="1:31" ht="20.6" thickBot="1" x14ac:dyDescent="0.55000000000000004">
      <c r="A17" s="33"/>
      <c r="B17" s="252"/>
      <c r="C17" s="259"/>
      <c r="D17" s="143"/>
      <c r="E17" s="262"/>
      <c r="F17" s="137"/>
      <c r="G17" s="144">
        <v>100</v>
      </c>
      <c r="H17" s="33"/>
      <c r="I17" s="49"/>
      <c r="AD17" s="35"/>
      <c r="AE17" s="52"/>
    </row>
    <row r="18" spans="1:31" x14ac:dyDescent="0.5">
      <c r="A18" s="33"/>
      <c r="B18" s="95" t="s">
        <v>15</v>
      </c>
      <c r="C18" s="96">
        <v>36.697247706422026</v>
      </c>
      <c r="D18" s="98" t="str">
        <f>B18</f>
        <v>Neph Sy</v>
      </c>
      <c r="E18" s="99">
        <f t="shared" ref="E18:E29" si="0">C18/$Y$56*100</f>
        <v>36.697247706422012</v>
      </c>
      <c r="F18" s="98" t="str">
        <f>B18</f>
        <v>Neph Sy</v>
      </c>
      <c r="G18" s="99">
        <f t="shared" ref="G18:G29" si="1">E18*$G$17/100</f>
        <v>36.697247706422012</v>
      </c>
      <c r="H18" s="33"/>
      <c r="AD18" s="35"/>
      <c r="AE18" s="52"/>
    </row>
    <row r="19" spans="1:31" x14ac:dyDescent="0.5">
      <c r="A19" s="33"/>
      <c r="B19" s="95" t="s">
        <v>51</v>
      </c>
      <c r="C19" s="96">
        <v>18.348623853211013</v>
      </c>
      <c r="D19" s="100" t="str">
        <f t="shared" ref="D19:D29" si="2">B19</f>
        <v>Whiting</v>
      </c>
      <c r="E19" s="101">
        <f t="shared" si="0"/>
        <v>18.348623853211006</v>
      </c>
      <c r="F19" s="100" t="str">
        <f>B19</f>
        <v>Whiting</v>
      </c>
      <c r="G19" s="101">
        <f t="shared" si="1"/>
        <v>18.348623853211006</v>
      </c>
      <c r="H19" s="33"/>
      <c r="AE19" s="52"/>
    </row>
    <row r="20" spans="1:31" ht="18.75" customHeight="1" x14ac:dyDescent="0.5">
      <c r="A20" s="33"/>
      <c r="B20" s="95" t="s">
        <v>26</v>
      </c>
      <c r="C20" s="96">
        <v>27.522935779816514</v>
      </c>
      <c r="D20" s="100" t="str">
        <f t="shared" si="2"/>
        <v xml:space="preserve">Flint </v>
      </c>
      <c r="E20" s="101">
        <f t="shared" si="0"/>
        <v>27.522935779816503</v>
      </c>
      <c r="F20" s="100" t="str">
        <f t="shared" ref="F20:F29" si="3">B20</f>
        <v xml:space="preserve">Flint </v>
      </c>
      <c r="G20" s="101">
        <f t="shared" si="1"/>
        <v>27.522935779816503</v>
      </c>
      <c r="H20" s="33"/>
      <c r="AE20" s="52"/>
    </row>
    <row r="21" spans="1:31" x14ac:dyDescent="0.5">
      <c r="A21" s="33"/>
      <c r="B21" s="95" t="s">
        <v>22</v>
      </c>
      <c r="C21" s="96">
        <v>9.1743119266055064</v>
      </c>
      <c r="D21" s="100" t="str">
        <f>B21</f>
        <v>EPK</v>
      </c>
      <c r="E21" s="101">
        <f t="shared" si="0"/>
        <v>9.1743119266055029</v>
      </c>
      <c r="F21" s="100" t="str">
        <f t="shared" si="3"/>
        <v>EPK</v>
      </c>
      <c r="G21" s="101">
        <f t="shared" si="1"/>
        <v>9.1743119266055029</v>
      </c>
      <c r="H21" s="33"/>
      <c r="AE21" s="52"/>
    </row>
    <row r="22" spans="1:31" ht="20.25" customHeight="1" x14ac:dyDescent="0.5">
      <c r="A22" s="33"/>
      <c r="B22" s="95" t="s">
        <v>87</v>
      </c>
      <c r="C22" s="96">
        <v>8.2568807339449553</v>
      </c>
      <c r="D22" s="100" t="str">
        <f t="shared" si="2"/>
        <v>Titanium Dioxide</v>
      </c>
      <c r="E22" s="101">
        <f t="shared" si="0"/>
        <v>8.2568807339449535</v>
      </c>
      <c r="F22" s="100" t="str">
        <f t="shared" si="3"/>
        <v>Titanium Dioxide</v>
      </c>
      <c r="G22" s="101">
        <f t="shared" si="1"/>
        <v>8.2568807339449535</v>
      </c>
      <c r="H22" s="33"/>
      <c r="AC22" s="35"/>
      <c r="AE22" s="52"/>
    </row>
    <row r="23" spans="1:31" x14ac:dyDescent="0.5">
      <c r="A23" s="33"/>
      <c r="B23" s="95">
        <v>0</v>
      </c>
      <c r="C23" s="96">
        <v>0</v>
      </c>
      <c r="D23" s="100">
        <f t="shared" si="2"/>
        <v>0</v>
      </c>
      <c r="E23" s="101">
        <f t="shared" si="0"/>
        <v>0</v>
      </c>
      <c r="F23" s="100">
        <f t="shared" si="3"/>
        <v>0</v>
      </c>
      <c r="G23" s="101">
        <f t="shared" si="1"/>
        <v>0</v>
      </c>
      <c r="H23" s="33"/>
      <c r="I23" s="53"/>
      <c r="AC23" s="35"/>
      <c r="AE23" s="52"/>
    </row>
    <row r="24" spans="1:31" x14ac:dyDescent="0.5">
      <c r="A24" s="33"/>
      <c r="B24" s="95">
        <v>0</v>
      </c>
      <c r="C24" s="96">
        <v>0</v>
      </c>
      <c r="D24" s="100">
        <f t="shared" si="2"/>
        <v>0</v>
      </c>
      <c r="E24" s="101">
        <f t="shared" si="0"/>
        <v>0</v>
      </c>
      <c r="F24" s="100">
        <f t="shared" si="3"/>
        <v>0</v>
      </c>
      <c r="G24" s="101">
        <f t="shared" si="1"/>
        <v>0</v>
      </c>
      <c r="H24" s="54"/>
      <c r="I24" s="53"/>
      <c r="AC24" s="35"/>
      <c r="AE24" s="52"/>
    </row>
    <row r="25" spans="1:31" ht="21" customHeight="1" x14ac:dyDescent="0.5">
      <c r="A25" s="33"/>
      <c r="B25" s="95">
        <v>0</v>
      </c>
      <c r="C25" s="96">
        <v>0</v>
      </c>
      <c r="D25" s="100">
        <f t="shared" si="2"/>
        <v>0</v>
      </c>
      <c r="E25" s="101">
        <f t="shared" si="0"/>
        <v>0</v>
      </c>
      <c r="F25" s="100">
        <f t="shared" si="3"/>
        <v>0</v>
      </c>
      <c r="G25" s="101">
        <f t="shared" si="1"/>
        <v>0</v>
      </c>
      <c r="H25" s="33"/>
      <c r="I25" s="10"/>
      <c r="AC25" s="35"/>
      <c r="AE25" s="52"/>
    </row>
    <row r="26" spans="1:31" ht="19.5" customHeight="1" x14ac:dyDescent="0.5">
      <c r="A26" s="33"/>
      <c r="B26" s="95">
        <v>0</v>
      </c>
      <c r="C26" s="96">
        <v>0</v>
      </c>
      <c r="D26" s="100">
        <f t="shared" si="2"/>
        <v>0</v>
      </c>
      <c r="E26" s="101">
        <f t="shared" si="0"/>
        <v>0</v>
      </c>
      <c r="F26" s="100">
        <f t="shared" si="3"/>
        <v>0</v>
      </c>
      <c r="G26" s="101">
        <f t="shared" si="1"/>
        <v>0</v>
      </c>
      <c r="H26" s="33"/>
      <c r="I26" s="18"/>
      <c r="AC26" s="35"/>
      <c r="AE26" s="52"/>
    </row>
    <row r="27" spans="1:31" ht="20.25" customHeight="1" x14ac:dyDescent="0.5">
      <c r="A27" s="33"/>
      <c r="B27" s="95">
        <v>0</v>
      </c>
      <c r="C27" s="96">
        <v>0</v>
      </c>
      <c r="D27" s="100">
        <f t="shared" si="2"/>
        <v>0</v>
      </c>
      <c r="E27" s="101">
        <f t="shared" si="0"/>
        <v>0</v>
      </c>
      <c r="F27" s="100">
        <f t="shared" si="3"/>
        <v>0</v>
      </c>
      <c r="G27" s="101">
        <f t="shared" si="1"/>
        <v>0</v>
      </c>
      <c r="H27" s="33"/>
      <c r="I27" s="18"/>
      <c r="AC27" s="35"/>
      <c r="AE27" s="52"/>
    </row>
    <row r="28" spans="1:31" x14ac:dyDescent="0.5">
      <c r="A28" s="33"/>
      <c r="B28" s="95">
        <v>0</v>
      </c>
      <c r="C28" s="96">
        <v>0</v>
      </c>
      <c r="D28" s="100">
        <f t="shared" si="2"/>
        <v>0</v>
      </c>
      <c r="E28" s="101">
        <f t="shared" si="0"/>
        <v>0</v>
      </c>
      <c r="F28" s="100">
        <f t="shared" si="3"/>
        <v>0</v>
      </c>
      <c r="G28" s="101">
        <f t="shared" si="1"/>
        <v>0</v>
      </c>
      <c r="H28" s="33"/>
      <c r="I28" s="18"/>
      <c r="AC28" s="35"/>
      <c r="AE28" s="52"/>
    </row>
    <row r="29" spans="1:31" x14ac:dyDescent="0.5">
      <c r="A29" s="33"/>
      <c r="B29" s="95">
        <v>0</v>
      </c>
      <c r="C29" s="96">
        <v>0</v>
      </c>
      <c r="D29" s="100">
        <f t="shared" si="2"/>
        <v>0</v>
      </c>
      <c r="E29" s="101">
        <f t="shared" si="0"/>
        <v>0</v>
      </c>
      <c r="F29" s="100">
        <f t="shared" si="3"/>
        <v>0</v>
      </c>
      <c r="G29" s="101">
        <f t="shared" si="1"/>
        <v>0</v>
      </c>
      <c r="H29" s="33"/>
      <c r="I29" s="18"/>
      <c r="AC29" s="35"/>
      <c r="AE29" s="52"/>
    </row>
    <row r="30" spans="1:31" x14ac:dyDescent="0.5">
      <c r="A30" s="33"/>
      <c r="B30" s="95">
        <v>0</v>
      </c>
      <c r="C30" s="97">
        <v>0</v>
      </c>
      <c r="D30" s="100">
        <f t="shared" ref="D30:D33" si="4">B30</f>
        <v>0</v>
      </c>
      <c r="E30" s="101">
        <f t="shared" ref="E30:E33" si="5">C30/$Y$56*100</f>
        <v>0</v>
      </c>
      <c r="F30" s="100">
        <f t="shared" ref="F30:F33" si="6">B30</f>
        <v>0</v>
      </c>
      <c r="G30" s="101">
        <f t="shared" ref="G30:G33" si="7">E30*$G$17/100</f>
        <v>0</v>
      </c>
      <c r="H30" s="56"/>
      <c r="I30" s="18"/>
      <c r="AE30" s="52"/>
    </row>
    <row r="31" spans="1:31" x14ac:dyDescent="0.5">
      <c r="A31" s="33"/>
      <c r="B31" s="95">
        <v>0</v>
      </c>
      <c r="C31" s="96">
        <v>0</v>
      </c>
      <c r="D31" s="100">
        <f t="shared" si="4"/>
        <v>0</v>
      </c>
      <c r="E31" s="101">
        <f t="shared" si="5"/>
        <v>0</v>
      </c>
      <c r="F31" s="100">
        <f t="shared" si="6"/>
        <v>0</v>
      </c>
      <c r="G31" s="101">
        <f t="shared" si="7"/>
        <v>0</v>
      </c>
      <c r="H31" s="57"/>
      <c r="AE31" s="52"/>
    </row>
    <row r="32" spans="1:31" x14ac:dyDescent="0.5">
      <c r="A32" s="33"/>
      <c r="B32" s="95">
        <v>0</v>
      </c>
      <c r="C32" s="96">
        <v>0</v>
      </c>
      <c r="D32" s="100">
        <f t="shared" si="4"/>
        <v>0</v>
      </c>
      <c r="E32" s="101">
        <f t="shared" si="5"/>
        <v>0</v>
      </c>
      <c r="F32" s="100">
        <f t="shared" si="6"/>
        <v>0</v>
      </c>
      <c r="G32" s="101">
        <f t="shared" si="7"/>
        <v>0</v>
      </c>
      <c r="H32" s="57"/>
      <c r="AD32" s="52"/>
    </row>
    <row r="33" spans="1:35" x14ac:dyDescent="0.5">
      <c r="A33" s="33"/>
      <c r="B33" s="95">
        <v>0</v>
      </c>
      <c r="C33" s="96">
        <v>0</v>
      </c>
      <c r="D33" s="100">
        <f t="shared" si="4"/>
        <v>0</v>
      </c>
      <c r="E33" s="101">
        <f t="shared" si="5"/>
        <v>0</v>
      </c>
      <c r="F33" s="100">
        <f t="shared" si="6"/>
        <v>0</v>
      </c>
      <c r="G33" s="101">
        <f t="shared" si="7"/>
        <v>0</v>
      </c>
      <c r="H33" s="57"/>
      <c r="AD33" s="52"/>
    </row>
    <row r="34" spans="1:35" x14ac:dyDescent="0.5">
      <c r="A34" s="33"/>
      <c r="B34" s="33"/>
      <c r="C34" s="34"/>
      <c r="D34" s="34"/>
      <c r="E34" s="34"/>
      <c r="F34" s="34"/>
      <c r="G34" s="56"/>
      <c r="H34" s="57"/>
      <c r="AD34" s="52"/>
    </row>
    <row r="35" spans="1:35" ht="20.6" thickBot="1" x14ac:dyDescent="0.55000000000000004">
      <c r="A35" s="33"/>
      <c r="B35" s="33"/>
      <c r="C35" s="34"/>
      <c r="D35" s="34"/>
      <c r="E35" s="34"/>
      <c r="F35" s="34"/>
      <c r="G35" s="56"/>
      <c r="H35" s="56"/>
      <c r="I35" s="38"/>
      <c r="AE35" s="52"/>
    </row>
    <row r="36" spans="1:35" ht="16.75" x14ac:dyDescent="0.5">
      <c r="A36" s="33"/>
      <c r="B36" s="45" t="s">
        <v>0</v>
      </c>
      <c r="C36" s="24" t="s">
        <v>1</v>
      </c>
      <c r="D36" s="24" t="s">
        <v>2</v>
      </c>
      <c r="E36" s="24" t="s">
        <v>11</v>
      </c>
      <c r="F36" s="74" t="s">
        <v>141</v>
      </c>
      <c r="G36" s="24" t="s">
        <v>3</v>
      </c>
      <c r="H36" s="24" t="s">
        <v>4</v>
      </c>
      <c r="I36" s="24" t="s">
        <v>5</v>
      </c>
      <c r="J36" s="76" t="s">
        <v>140</v>
      </c>
      <c r="K36" s="76" t="s">
        <v>144</v>
      </c>
      <c r="L36" s="24" t="s">
        <v>6</v>
      </c>
      <c r="M36" s="24" t="s">
        <v>7</v>
      </c>
      <c r="N36" s="24" t="s">
        <v>8</v>
      </c>
      <c r="O36" s="24" t="s">
        <v>29</v>
      </c>
      <c r="P36" s="24" t="s">
        <v>10</v>
      </c>
      <c r="Q36" s="205" t="s">
        <v>187</v>
      </c>
      <c r="R36" s="24" t="s">
        <v>133</v>
      </c>
      <c r="S36" s="24" t="s">
        <v>143</v>
      </c>
      <c r="T36" s="24" t="s">
        <v>130</v>
      </c>
      <c r="U36" s="25" t="s">
        <v>161</v>
      </c>
      <c r="V36" s="25" t="s">
        <v>160</v>
      </c>
      <c r="W36" s="83" t="s">
        <v>164</v>
      </c>
      <c r="X36" s="46" t="s">
        <v>77</v>
      </c>
      <c r="Y36" s="47"/>
      <c r="Z36" s="35"/>
      <c r="AE36"/>
      <c r="AF36"/>
      <c r="AG36"/>
      <c r="AH36"/>
      <c r="AI36" s="52"/>
    </row>
    <row r="37" spans="1:35" ht="15.45" thickBot="1" x14ac:dyDescent="0.45">
      <c r="A37" s="33"/>
      <c r="B37" s="50">
        <v>60.09</v>
      </c>
      <c r="C37" s="26">
        <v>69.62</v>
      </c>
      <c r="D37" s="27">
        <v>101.96</v>
      </c>
      <c r="E37" s="27">
        <v>79.866</v>
      </c>
      <c r="F37" s="75">
        <v>74.692799999999991</v>
      </c>
      <c r="G37" s="27">
        <v>29.88</v>
      </c>
      <c r="H37" s="27">
        <v>61.98</v>
      </c>
      <c r="I37" s="27">
        <v>94.2</v>
      </c>
      <c r="J37" s="77">
        <v>79.545000000000002</v>
      </c>
      <c r="K37" s="77">
        <v>465.96</v>
      </c>
      <c r="L37" s="27">
        <v>40.31</v>
      </c>
      <c r="M37" s="27">
        <v>56.08</v>
      </c>
      <c r="N37" s="27">
        <v>103.62</v>
      </c>
      <c r="O37" s="27">
        <v>153.69999999999999</v>
      </c>
      <c r="P37" s="27">
        <v>81.39</v>
      </c>
      <c r="Q37" s="27">
        <v>159.69999999999999</v>
      </c>
      <c r="R37" s="27">
        <v>86.94</v>
      </c>
      <c r="S37" s="27">
        <v>74.930000000000007</v>
      </c>
      <c r="T37" s="27">
        <v>223.2</v>
      </c>
      <c r="U37" s="28">
        <v>150.69999999999999</v>
      </c>
      <c r="V37" s="28">
        <v>141.94</v>
      </c>
      <c r="W37" s="28">
        <v>152</v>
      </c>
      <c r="X37" s="51">
        <v>214.44</v>
      </c>
      <c r="Y37" s="44"/>
      <c r="Z37" s="35"/>
      <c r="AE37"/>
      <c r="AF37"/>
      <c r="AG37"/>
      <c r="AH37"/>
      <c r="AI37" s="52"/>
    </row>
    <row r="38" spans="1:35" ht="12.9" thickBot="1" x14ac:dyDescent="0.35">
      <c r="A38" s="33"/>
      <c r="B38" s="29">
        <f>IF(ISNA(VLOOKUP($B18,'Chemical Analysis'!$B$4:$Y$119,2,0)),"",(VLOOKUP($B18,'Chemical Analysis'!$B$4:$Y$119,2,0))*$E18/100)</f>
        <v>22.733944954128436</v>
      </c>
      <c r="C38" s="29">
        <f>IF(ISNA(VLOOKUP($B18,'Chemical Analysis'!$B$4:$Y$119,3,0)),"",(VLOOKUP($B18,'Chemical Analysis'!$B$4:$Y$119,3,0))*$E18/100)</f>
        <v>0</v>
      </c>
      <c r="D38" s="29">
        <f>IF(ISNA(VLOOKUP($B18,'Chemical Analysis'!$B$4:$Y$119,4,0)),"",(VLOOKUP($B18,'Chemical Analysis'!$B$4:$Y$119,4,0))*$E18/100)</f>
        <v>8.1100917431192645</v>
      </c>
      <c r="E38" s="29">
        <f>IF(ISNA(VLOOKUP($B18,'Chemical Analysis'!$B$4:$Y$119,5,0)),"",(VLOOKUP($B18,'Chemical Analysis'!$B$4:$Y$119,5,0))*$E18/100)</f>
        <v>0</v>
      </c>
      <c r="F38" s="29">
        <f>IF(ISNA(VLOOKUP($B18,'Chemical Analysis'!$B$4:$Y$119,6,0)),"",(VLOOKUP($B18,'Chemical Analysis'!$B$4:$Y$119,6,0))*$E18/100)</f>
        <v>0</v>
      </c>
      <c r="G38" s="29">
        <f>IF(ISNA(VLOOKUP($B18,'Chemical Analysis'!$B$4:$Y$119,7,0)),"",(VLOOKUP($B18,'Chemical Analysis'!$B$4:$Y$119,7,0))*$E18/100)</f>
        <v>0</v>
      </c>
      <c r="H38" s="29">
        <f>IF(ISNA(VLOOKUP($B18,'Chemical Analysis'!$B$4:$Y$119,8,0)),"",(VLOOKUP($B18,'Chemical Analysis'!$B$4:$Y$119,8,0))*$E18/100)</f>
        <v>3.7761467889908249</v>
      </c>
      <c r="I38" s="29">
        <f>IF(ISNA(VLOOKUP($B18,'Chemical Analysis'!$B$4:$Y$119,9,0)),"",(VLOOKUP($B18,'Chemical Analysis'!$B$4:$Y$119,9,0))*$E18/100)</f>
        <v>1.6146788990825687</v>
      </c>
      <c r="J38" s="29">
        <f>IF(ISNA(VLOOKUP($B18,'Chemical Analysis'!$B$4:$Y$119,10,0)),"",(VLOOKUP($B18,'Chemical Analysis'!$B$4:$Y$119,10,0))*$E18/100)</f>
        <v>0</v>
      </c>
      <c r="K38" s="29">
        <f>IF(ISNA(VLOOKUP($B18,'Chemical Analysis'!$B$4:$Y$119,11,0)),"",(VLOOKUP($B18,'Chemical Analysis'!$B$4:$Y$119,11,0))*$E18/100)</f>
        <v>0</v>
      </c>
      <c r="L38" s="29">
        <f>IF(ISNA(VLOOKUP($B18,'Chemical Analysis'!$B$4:$Y$119,12,0)),"",(VLOOKUP($B18,'Chemical Analysis'!$B$4:$Y$119,12,0))*$E18/100)</f>
        <v>1.1009174311926604E-2</v>
      </c>
      <c r="M38" s="29">
        <f>IF(ISNA(VLOOKUP($B18,'Chemical Analysis'!$B$4:$Y$119,13,0)),"",(VLOOKUP($B18,'Chemical Analysis'!$B$4:$Y$119,13,0))*$E18/100)</f>
        <v>0.13211009174311925</v>
      </c>
      <c r="N38" s="29">
        <f>IF(ISNA(VLOOKUP($B18,'Chemical Analysis'!$B$4:$Y$119,14,0)),"",(VLOOKUP($B18,'Chemical Analysis'!$B$4:$Y$119,14,0))*$E18/100)</f>
        <v>0</v>
      </c>
      <c r="O38" s="29">
        <f>IF(ISNA(VLOOKUP($B18,'Chemical Analysis'!$B$4:$Y$119,15,0)),"",(VLOOKUP($B18,'Chemical Analysis'!$B$4:$Y$119,15,0))*$E18/100)</f>
        <v>0</v>
      </c>
      <c r="P38" s="29">
        <f>IF(ISNA(VLOOKUP($B18,'Chemical Analysis'!$B$4:$Y$119,16,0)),"",(VLOOKUP($B18,'Chemical Analysis'!$B$4:$Y$119,16,0))*$E18/100)</f>
        <v>0</v>
      </c>
      <c r="Q38" s="29">
        <f>IF(ISNA(VLOOKUP($B18,'Chemical Analysis'!$B$4:$Y$119,17,0)),"",(VLOOKUP($B18,'Chemical Analysis'!$B$4:$Y$119,17,0))*$E18/100)</f>
        <v>1.4678899082568806E-2</v>
      </c>
      <c r="R38" s="29">
        <f>IF(ISNA(VLOOKUP($B18,'Chemical Analysis'!$B$4:$Y$119,18,0)),"",(VLOOKUP($B18,'Chemical Analysis'!$B$4:$Y$119,18,0))*$E18/100)</f>
        <v>0</v>
      </c>
      <c r="S38" s="29">
        <f>IF(ISNA(VLOOKUP($B18,'Chemical Analysis'!$B$4:$Y$119,19,0)),"",(VLOOKUP($B18,'Chemical Analysis'!$B$4:$Y$119,19,0))*$E18/100)</f>
        <v>0</v>
      </c>
      <c r="T38" s="29">
        <f>IF(ISNA(VLOOKUP($B18,'Chemical Analysis'!$B$4:$Y$119,20,0)),"",(VLOOKUP($B18,'Chemical Analysis'!$B$4:$Y$119,20,0))*$E18/100)</f>
        <v>0</v>
      </c>
      <c r="U38" s="29">
        <f>IF(ISNA(VLOOKUP($B18,'Chemical Analysis'!$B$4:$Y$119,21,0)),"",(VLOOKUP($B18,'Chemical Analysis'!$B$4:$Y$119,21,0))*$E18/100)</f>
        <v>0</v>
      </c>
      <c r="V38" s="29">
        <f>IF(ISNA(VLOOKUP($B18,'Chemical Analysis'!$B$4:$Y$119,22,0)),"",(VLOOKUP($B18,'Chemical Analysis'!$B$4:$Y$119,22,0))*$E18/100)</f>
        <v>0</v>
      </c>
      <c r="W38" s="29">
        <f>IF(ISNA(VLOOKUP($B18,'Chemical Analysis'!$B$4:$Y$119,23,0)),"",(VLOOKUP($B18,'Chemical Analysis'!$B$4:$Y$119,23,0))*$E18/100)</f>
        <v>0</v>
      </c>
      <c r="X38" s="29">
        <f>IF(ISNA(VLOOKUP($B18,'Chemical Analysis'!$B$4:$Y$119,24,0)),"",(VLOOKUP($B18,'Chemical Analysis'!$B$4:$Y$119,24,0))*$E18/100)</f>
        <v>0</v>
      </c>
      <c r="Y38" s="44"/>
      <c r="Z38" s="35"/>
      <c r="AE38"/>
      <c r="AF38"/>
      <c r="AG38"/>
      <c r="AH38"/>
      <c r="AI38" s="52"/>
    </row>
    <row r="39" spans="1:35" ht="12.9" thickBot="1" x14ac:dyDescent="0.35">
      <c r="B39" s="29">
        <f>IF(ISNA(VLOOKUP($B19,'Chemical Analysis'!$B$4:$Y$119,2,0)),"",(VLOOKUP($B19,'Chemical Analysis'!$B$4:$Y$119,2,0))*$E19/100)</f>
        <v>0</v>
      </c>
      <c r="C39" s="29">
        <f>IF(ISNA(VLOOKUP($B19,'Chemical Analysis'!$B$4:$Y$119,3,0)),"",(VLOOKUP($B19,'Chemical Analysis'!$B$4:$Y$119,3,0))*$E19/100)</f>
        <v>0</v>
      </c>
      <c r="D39" s="29">
        <f>IF(ISNA(VLOOKUP($B19,'Chemical Analysis'!$B$4:$Y$119,4,0)),"",(VLOOKUP($B19,'Chemical Analysis'!$B$4:$Y$119,4,0))*$E19/100)</f>
        <v>0</v>
      </c>
      <c r="E39" s="29">
        <f>IF(ISNA(VLOOKUP($B19,'Chemical Analysis'!$B$4:$Y$119,5,0)),"",(VLOOKUP($B19,'Chemical Analysis'!$B$4:$Y$119,5,0))*$E19/100)</f>
        <v>1.8348623853211008E-3</v>
      </c>
      <c r="F39" s="29">
        <f>IF(ISNA(VLOOKUP($B19,'Chemical Analysis'!$B$4:$Y$119,6,0)),"",(VLOOKUP($B19,'Chemical Analysis'!$B$4:$Y$119,6,0))*$E19/100)</f>
        <v>0</v>
      </c>
      <c r="G39" s="29">
        <f>IF(ISNA(VLOOKUP($B19,'Chemical Analysis'!$B$4:$Y$119,7,0)),"",(VLOOKUP($B19,'Chemical Analysis'!$B$4:$Y$119,7,0))*$E19/100)</f>
        <v>0</v>
      </c>
      <c r="H39" s="29">
        <f>IF(ISNA(VLOOKUP($B19,'Chemical Analysis'!$B$4:$Y$119,8,0)),"",(VLOOKUP($B19,'Chemical Analysis'!$B$4:$Y$119,8,0))*$E19/100)</f>
        <v>0</v>
      </c>
      <c r="I39" s="29">
        <f>IF(ISNA(VLOOKUP($B19,'Chemical Analysis'!$B$4:$Y$119,9,0)),"",(VLOOKUP($B19,'Chemical Analysis'!$B$4:$Y$119,9,0))*$E19/100)</f>
        <v>0</v>
      </c>
      <c r="J39" s="29">
        <f>IF(ISNA(VLOOKUP($B19,'Chemical Analysis'!$B$4:$Y$119,10,0)),"",(VLOOKUP($B19,'Chemical Analysis'!$B$4:$Y$119,10,0))*$E19/100)</f>
        <v>0</v>
      </c>
      <c r="K39" s="29">
        <f>IF(ISNA(VLOOKUP($B19,'Chemical Analysis'!$B$4:$Y$119,11,0)),"",(VLOOKUP($B19,'Chemical Analysis'!$B$4:$Y$119,11,0))*$E19/100)</f>
        <v>0</v>
      </c>
      <c r="L39" s="29">
        <f>IF(ISNA(VLOOKUP($B19,'Chemical Analysis'!$B$4:$Y$119,12,0)),"",(VLOOKUP($B19,'Chemical Analysis'!$B$4:$Y$119,12,0))*$E19/100)</f>
        <v>0</v>
      </c>
      <c r="M39" s="29">
        <f>IF(ISNA(VLOOKUP($B19,'Chemical Analysis'!$B$4:$Y$119,13,0)),"",(VLOOKUP($B19,'Chemical Analysis'!$B$4:$Y$119,13,0))*$E19/100)</f>
        <v>10.280733944954127</v>
      </c>
      <c r="N39" s="29">
        <f>IF(ISNA(VLOOKUP($B19,'Chemical Analysis'!$B$4:$Y$119,14,0)),"",(VLOOKUP($B19,'Chemical Analysis'!$B$4:$Y$119,14,0))*$E19/100)</f>
        <v>0</v>
      </c>
      <c r="O39" s="29">
        <f>IF(ISNA(VLOOKUP($B19,'Chemical Analysis'!$B$4:$Y$119,15,0)),"",(VLOOKUP($B19,'Chemical Analysis'!$B$4:$Y$119,15,0))*$E19/100)</f>
        <v>0</v>
      </c>
      <c r="P39" s="29">
        <f>IF(ISNA(VLOOKUP($B19,'Chemical Analysis'!$B$4:$Y$119,16,0)),"",(VLOOKUP($B19,'Chemical Analysis'!$B$4:$Y$119,16,0))*$E19/100)</f>
        <v>0</v>
      </c>
      <c r="Q39" s="29">
        <f>IF(ISNA(VLOOKUP($B19,'Chemical Analysis'!$B$4:$Y$119,17,0)),"",(VLOOKUP($B19,'Chemical Analysis'!$B$4:$Y$119,17,0))*$E19/100)</f>
        <v>0</v>
      </c>
      <c r="R39" s="29">
        <f>IF(ISNA(VLOOKUP($B19,'Chemical Analysis'!$B$4:$Y$119,18,0)),"",(VLOOKUP($B19,'Chemical Analysis'!$B$4:$Y$119,18,0))*$E19/100)</f>
        <v>0</v>
      </c>
      <c r="S39" s="29">
        <f>IF(ISNA(VLOOKUP($B19,'Chemical Analysis'!$B$4:$Y$119,19,0)),"",(VLOOKUP($B19,'Chemical Analysis'!$B$4:$Y$119,19,0))*$E19/100)</f>
        <v>0</v>
      </c>
      <c r="T39" s="29">
        <f>IF(ISNA(VLOOKUP($B19,'Chemical Analysis'!$B$4:$Y$119,20,0)),"",(VLOOKUP($B19,'Chemical Analysis'!$B$4:$Y$119,20,0))*$E19/100)</f>
        <v>0</v>
      </c>
      <c r="U39" s="29">
        <f>IF(ISNA(VLOOKUP($B19,'Chemical Analysis'!$B$4:$Y$119,21,0)),"",(VLOOKUP($B19,'Chemical Analysis'!$B$4:$Y$119,21,0))*$E19/100)</f>
        <v>0</v>
      </c>
      <c r="V39" s="29">
        <f>IF(ISNA(VLOOKUP($B19,'Chemical Analysis'!$B$4:$Y$119,22,0)),"",(VLOOKUP($B19,'Chemical Analysis'!$B$4:$Y$119,22,0))*$E19/100)</f>
        <v>0</v>
      </c>
      <c r="W39" s="29">
        <f>IF(ISNA(VLOOKUP($B19,'Chemical Analysis'!$B$4:$Y$119,23,0)),"",(VLOOKUP($B19,'Chemical Analysis'!$B$4:$Y$119,23,0))*$E19/100)</f>
        <v>0</v>
      </c>
      <c r="X39" s="29">
        <f>IF(ISNA(VLOOKUP($B19,'Chemical Analysis'!$B$4:$Y$119,24,0)),"",(VLOOKUP($B19,'Chemical Analysis'!$B$4:$Y$119,24,0))*$E19/100)</f>
        <v>0</v>
      </c>
      <c r="Y39" s="44"/>
      <c r="Z39" s="35"/>
      <c r="AE39"/>
      <c r="AF39"/>
      <c r="AG39"/>
      <c r="AH39"/>
    </row>
    <row r="40" spans="1:35" ht="12.9" thickBot="1" x14ac:dyDescent="0.35">
      <c r="B40" s="29">
        <f>IF(ISNA(VLOOKUP($B20,'Chemical Analysis'!$B$4:$Y$119,2,0)),"",(VLOOKUP($B20,'Chemical Analysis'!$B$4:$Y$119,2,0))*$E20/100)</f>
        <v>27.121100917431185</v>
      </c>
      <c r="C40" s="29">
        <f>IF(ISNA(VLOOKUP($B20,'Chemical Analysis'!$B$4:$Y$119,3,0)),"",(VLOOKUP($B20,'Chemical Analysis'!$B$4:$Y$119,3,0))*$E20/100)</f>
        <v>0</v>
      </c>
      <c r="D40" s="29">
        <f>IF(ISNA(VLOOKUP($B20,'Chemical Analysis'!$B$4:$Y$119,4,0)),"",(VLOOKUP($B20,'Chemical Analysis'!$B$4:$Y$119,4,0))*$E20/100)</f>
        <v>0.11559633027522931</v>
      </c>
      <c r="E40" s="29">
        <f>IF(ISNA(VLOOKUP($B20,'Chemical Analysis'!$B$4:$Y$119,5,0)),"",(VLOOKUP($B20,'Chemical Analysis'!$B$4:$Y$119,5,0))*$E20/100)</f>
        <v>1.6513761467889899E-2</v>
      </c>
      <c r="F40" s="29">
        <f>IF(ISNA(VLOOKUP($B20,'Chemical Analysis'!$B$4:$Y$119,6,0)),"",(VLOOKUP($B20,'Chemical Analysis'!$B$4:$Y$119,6,0))*$E20/100)</f>
        <v>0</v>
      </c>
      <c r="G40" s="29">
        <f>IF(ISNA(VLOOKUP($B20,'Chemical Analysis'!$B$4:$Y$119,7,0)),"",(VLOOKUP($B20,'Chemical Analysis'!$B$4:$Y$119,7,0))*$E20/100)</f>
        <v>0</v>
      </c>
      <c r="H40" s="29">
        <f>IF(ISNA(VLOOKUP($B20,'Chemical Analysis'!$B$4:$Y$119,8,0)),"",(VLOOKUP($B20,'Chemical Analysis'!$B$4:$Y$119,8,0))*$E20/100)</f>
        <v>0</v>
      </c>
      <c r="I40" s="29">
        <f>IF(ISNA(VLOOKUP($B20,'Chemical Analysis'!$B$4:$Y$119,9,0)),"",(VLOOKUP($B20,'Chemical Analysis'!$B$4:$Y$119,9,0))*$E20/100)</f>
        <v>0</v>
      </c>
      <c r="J40" s="29">
        <f>IF(ISNA(VLOOKUP($B20,'Chemical Analysis'!$B$4:$Y$119,10,0)),"",(VLOOKUP($B20,'Chemical Analysis'!$B$4:$Y$119,10,0))*$E20/100)</f>
        <v>0</v>
      </c>
      <c r="K40" s="29">
        <f>IF(ISNA(VLOOKUP($B20,'Chemical Analysis'!$B$4:$Y$119,11,0)),"",(VLOOKUP($B20,'Chemical Analysis'!$B$4:$Y$119,11,0))*$E20/100)</f>
        <v>0</v>
      </c>
      <c r="L40" s="29">
        <f>IF(ISNA(VLOOKUP($B20,'Chemical Analysis'!$B$4:$Y$119,12,0)),"",(VLOOKUP($B20,'Chemical Analysis'!$B$4:$Y$119,12,0))*$E20/100)</f>
        <v>2.7522935779816502E-3</v>
      </c>
      <c r="M40" s="29">
        <f>IF(ISNA(VLOOKUP($B20,'Chemical Analysis'!$B$4:$Y$119,13,0)),"",(VLOOKUP($B20,'Chemical Analysis'!$B$4:$Y$119,13,0))*$E20/100)</f>
        <v>2.7522935779816502E-3</v>
      </c>
      <c r="N40" s="29">
        <f>IF(ISNA(VLOOKUP($B20,'Chemical Analysis'!$B$4:$Y$119,14,0)),"",(VLOOKUP($B20,'Chemical Analysis'!$B$4:$Y$119,14,0))*$E20/100)</f>
        <v>0</v>
      </c>
      <c r="O40" s="29">
        <f>IF(ISNA(VLOOKUP($B20,'Chemical Analysis'!$B$4:$Y$119,15,0)),"",(VLOOKUP($B20,'Chemical Analysis'!$B$4:$Y$119,15,0))*$E20/100)</f>
        <v>0</v>
      </c>
      <c r="P40" s="29">
        <f>IF(ISNA(VLOOKUP($B20,'Chemical Analysis'!$B$4:$Y$119,16,0)),"",(VLOOKUP($B20,'Chemical Analysis'!$B$4:$Y$119,16,0))*$E20/100)</f>
        <v>0</v>
      </c>
      <c r="Q40" s="29">
        <f>IF(ISNA(VLOOKUP($B20,'Chemical Analysis'!$B$4:$Y$119,17,0)),"",(VLOOKUP($B20,'Chemical Analysis'!$B$4:$Y$119,17,0))*$E20/100)</f>
        <v>1.6513761467889899E-2</v>
      </c>
      <c r="R40" s="29">
        <f>IF(ISNA(VLOOKUP($B20,'Chemical Analysis'!$B$4:$Y$119,18,0)),"",(VLOOKUP($B20,'Chemical Analysis'!$B$4:$Y$119,18,0))*$E20/100)</f>
        <v>0</v>
      </c>
      <c r="S40" s="29">
        <f>IF(ISNA(VLOOKUP($B20,'Chemical Analysis'!$B$4:$Y$119,19,0)),"",(VLOOKUP($B20,'Chemical Analysis'!$B$4:$Y$119,19,0))*$E20/100)</f>
        <v>0</v>
      </c>
      <c r="T40" s="29">
        <f>IF(ISNA(VLOOKUP($B20,'Chemical Analysis'!$B$4:$Y$119,20,0)),"",(VLOOKUP($B20,'Chemical Analysis'!$B$4:$Y$119,20,0))*$E20/100)</f>
        <v>0</v>
      </c>
      <c r="U40" s="29">
        <f>IF(ISNA(VLOOKUP($B20,'Chemical Analysis'!$B$4:$Y$119,21,0)),"",(VLOOKUP($B20,'Chemical Analysis'!$B$4:$Y$119,21,0))*$E20/100)</f>
        <v>0</v>
      </c>
      <c r="V40" s="29">
        <f>IF(ISNA(VLOOKUP($B20,'Chemical Analysis'!$B$4:$Y$119,22,0)),"",(VLOOKUP($B20,'Chemical Analysis'!$B$4:$Y$119,22,0))*$E20/100)</f>
        <v>0</v>
      </c>
      <c r="W40" s="29">
        <f>IF(ISNA(VLOOKUP($B20,'Chemical Analysis'!$B$4:$Y$119,23,0)),"",(VLOOKUP($B20,'Chemical Analysis'!$B$4:$Y$119,23,0))*$E20/100)</f>
        <v>0</v>
      </c>
      <c r="X40" s="29">
        <f>IF(ISNA(VLOOKUP($B20,'Chemical Analysis'!$B$4:$Y$119,24,0)),"",(VLOOKUP($B20,'Chemical Analysis'!$B$4:$Y$119,24,0))*$E20/100)</f>
        <v>0</v>
      </c>
      <c r="Y40" s="44"/>
      <c r="Z40" s="35"/>
      <c r="AE40"/>
      <c r="AF40"/>
      <c r="AG40"/>
      <c r="AH40"/>
    </row>
    <row r="41" spans="1:35" ht="12.9" thickBot="1" x14ac:dyDescent="0.35">
      <c r="B41" s="29">
        <f>IF(ISNA(VLOOKUP($B21,'Chemical Analysis'!$B$4:$Y$119,2,0)),"",(VLOOKUP($B21,'Chemical Analysis'!$B$4:$Y$119,2,0))*$E21/100)</f>
        <v>4.5357798165137604</v>
      </c>
      <c r="C41" s="29">
        <f>IF(ISNA(VLOOKUP($B21,'Chemical Analysis'!$B$4:$Y$119,3,0)),"",(VLOOKUP($B21,'Chemical Analysis'!$B$4:$Y$119,3,0))*$E21/100)</f>
        <v>0</v>
      </c>
      <c r="D41" s="29">
        <f>IF(ISNA(VLOOKUP($B21,'Chemical Analysis'!$B$4:$Y$119,4,0)),"",(VLOOKUP($B21,'Chemical Analysis'!$B$4:$Y$119,4,0))*$E21/100)</f>
        <v>3.2532110091743114</v>
      </c>
      <c r="E41" s="29">
        <f>IF(ISNA(VLOOKUP($B21,'Chemical Analysis'!$B$4:$Y$119,5,0)),"",(VLOOKUP($B21,'Chemical Analysis'!$B$4:$Y$119,5,0))*$E21/100)</f>
        <v>3.3027522935779811E-2</v>
      </c>
      <c r="F41" s="29">
        <f>IF(ISNA(VLOOKUP($B21,'Chemical Analysis'!$B$4:$Y$119,6,0)),"",(VLOOKUP($B21,'Chemical Analysis'!$B$4:$Y$119,6,0))*$E21/100)</f>
        <v>0</v>
      </c>
      <c r="G41" s="29">
        <f>IF(ISNA(VLOOKUP($B21,'Chemical Analysis'!$B$4:$Y$119,7,0)),"",(VLOOKUP($B21,'Chemical Analysis'!$B$4:$Y$119,7,0))*$E21/100)</f>
        <v>0</v>
      </c>
      <c r="H41" s="29">
        <f>IF(ISNA(VLOOKUP($B21,'Chemical Analysis'!$B$4:$Y$119,8,0)),"",(VLOOKUP($B21,'Chemical Analysis'!$B$4:$Y$119,8,0))*$E21/100)</f>
        <v>0</v>
      </c>
      <c r="I41" s="29">
        <f>IF(ISNA(VLOOKUP($B21,'Chemical Analysis'!$B$4:$Y$119,9,0)),"",(VLOOKUP($B21,'Chemical Analysis'!$B$4:$Y$119,9,0))*$E21/100)</f>
        <v>3.6697247706422013E-2</v>
      </c>
      <c r="J41" s="29">
        <f>IF(ISNA(VLOOKUP($B21,'Chemical Analysis'!$B$4:$Y$119,10,0)),"",(VLOOKUP($B21,'Chemical Analysis'!$B$4:$Y$119,10,0))*$E21/100)</f>
        <v>0</v>
      </c>
      <c r="K41" s="29">
        <f>IF(ISNA(VLOOKUP($B21,'Chemical Analysis'!$B$4:$Y$119,11,0)),"",(VLOOKUP($B21,'Chemical Analysis'!$B$4:$Y$119,11,0))*$E21/100)</f>
        <v>0</v>
      </c>
      <c r="L41" s="29">
        <f>IF(ISNA(VLOOKUP($B21,'Chemical Analysis'!$B$4:$Y$119,12,0)),"",(VLOOKUP($B21,'Chemical Analysis'!$B$4:$Y$119,12,0))*$E21/100)</f>
        <v>1.4678899082568806E-2</v>
      </c>
      <c r="M41" s="29">
        <f>IF(ISNA(VLOOKUP($B21,'Chemical Analysis'!$B$4:$Y$119,13,0)),"",(VLOOKUP($B21,'Chemical Analysis'!$B$4:$Y$119,13,0))*$E21/100)</f>
        <v>4.5871559633027517E-3</v>
      </c>
      <c r="N41" s="29">
        <f>IF(ISNA(VLOOKUP($B21,'Chemical Analysis'!$B$4:$Y$119,14,0)),"",(VLOOKUP($B21,'Chemical Analysis'!$B$4:$Y$119,14,0))*$E21/100)</f>
        <v>0</v>
      </c>
      <c r="O41" s="29">
        <f>IF(ISNA(VLOOKUP($B21,'Chemical Analysis'!$B$4:$Y$119,15,0)),"",(VLOOKUP($B21,'Chemical Analysis'!$B$4:$Y$119,15,0))*$E21/100)</f>
        <v>0</v>
      </c>
      <c r="P41" s="29">
        <f>IF(ISNA(VLOOKUP($B21,'Chemical Analysis'!$B$4:$Y$119,16,0)),"",(VLOOKUP($B21,'Chemical Analysis'!$B$4:$Y$119,16,0))*$E21/100)</f>
        <v>0</v>
      </c>
      <c r="Q41" s="29">
        <f>IF(ISNA(VLOOKUP($B21,'Chemical Analysis'!$B$4:$Y$119,17,0)),"",(VLOOKUP($B21,'Chemical Analysis'!$B$4:$Y$119,17,0))*$E21/100)</f>
        <v>4.6788990825688062E-2</v>
      </c>
      <c r="R41" s="29">
        <f>IF(ISNA(VLOOKUP($B21,'Chemical Analysis'!$B$4:$Y$119,18,0)),"",(VLOOKUP($B21,'Chemical Analysis'!$B$4:$Y$119,18,0))*$E21/100)</f>
        <v>0</v>
      </c>
      <c r="S41" s="29">
        <f>IF(ISNA(VLOOKUP($B21,'Chemical Analysis'!$B$4:$Y$119,19,0)),"",(VLOOKUP($B21,'Chemical Analysis'!$B$4:$Y$119,19,0))*$E21/100)</f>
        <v>0</v>
      </c>
      <c r="T41" s="29">
        <f>IF(ISNA(VLOOKUP($B21,'Chemical Analysis'!$B$4:$Y$119,20,0)),"",(VLOOKUP($B21,'Chemical Analysis'!$B$4:$Y$119,20,0))*$E21/100)</f>
        <v>0</v>
      </c>
      <c r="U41" s="29">
        <f>IF(ISNA(VLOOKUP($B21,'Chemical Analysis'!$B$4:$Y$119,21,0)),"",(VLOOKUP($B21,'Chemical Analysis'!$B$4:$Y$119,21,0))*$E21/100)</f>
        <v>0</v>
      </c>
      <c r="V41" s="29">
        <f>IF(ISNA(VLOOKUP($B21,'Chemical Analysis'!$B$4:$Y$119,22,0)),"",(VLOOKUP($B21,'Chemical Analysis'!$B$4:$Y$119,22,0))*$E21/100)</f>
        <v>0</v>
      </c>
      <c r="W41" s="29">
        <f>IF(ISNA(VLOOKUP($B21,'Chemical Analysis'!$B$4:$Y$119,23,0)),"",(VLOOKUP($B21,'Chemical Analysis'!$B$4:$Y$119,23,0))*$E21/100)</f>
        <v>0</v>
      </c>
      <c r="X41" s="29">
        <f>IF(ISNA(VLOOKUP($B21,'Chemical Analysis'!$B$4:$Y$119,24,0)),"",(VLOOKUP($B21,'Chemical Analysis'!$B$4:$Y$119,24,0))*$E21/100)</f>
        <v>0</v>
      </c>
      <c r="Y41" s="44"/>
      <c r="Z41" s="35"/>
      <c r="AE41"/>
      <c r="AF41"/>
      <c r="AG41"/>
      <c r="AH41"/>
    </row>
    <row r="42" spans="1:35" ht="12.9" thickBot="1" x14ac:dyDescent="0.35">
      <c r="B42" s="29">
        <f>IF(ISNA(VLOOKUP($B22,'Chemical Analysis'!$B$4:$Y$119,2,0)),"",(VLOOKUP($B22,'Chemical Analysis'!$B$4:$Y$119,2,0))*$E22/100)</f>
        <v>0</v>
      </c>
      <c r="C42" s="29">
        <f>IF(ISNA(VLOOKUP($B22,'Chemical Analysis'!$B$4:$Y$119,3,0)),"",(VLOOKUP($B22,'Chemical Analysis'!$B$4:$Y$119,3,0))*$E22/100)</f>
        <v>0</v>
      </c>
      <c r="D42" s="29">
        <f>IF(ISNA(VLOOKUP($B22,'Chemical Analysis'!$B$4:$Y$119,4,0)),"",(VLOOKUP($B22,'Chemical Analysis'!$B$4:$Y$119,4,0))*$E22/100)</f>
        <v>0</v>
      </c>
      <c r="E42" s="29">
        <f>IF(ISNA(VLOOKUP($B22,'Chemical Analysis'!$B$4:$Y$119,5,0)),"",(VLOOKUP($B22,'Chemical Analysis'!$B$4:$Y$119,5,0))*$E22/100)</f>
        <v>8.2568807339449535</v>
      </c>
      <c r="F42" s="29">
        <f>IF(ISNA(VLOOKUP($B22,'Chemical Analysis'!$B$4:$Y$119,6,0)),"",(VLOOKUP($B22,'Chemical Analysis'!$B$4:$Y$119,6,0))*$E22/100)</f>
        <v>0</v>
      </c>
      <c r="G42" s="29">
        <f>IF(ISNA(VLOOKUP($B22,'Chemical Analysis'!$B$4:$Y$119,7,0)),"",(VLOOKUP($B22,'Chemical Analysis'!$B$4:$Y$119,7,0))*$E22/100)</f>
        <v>0</v>
      </c>
      <c r="H42" s="29">
        <f>IF(ISNA(VLOOKUP($B22,'Chemical Analysis'!$B$4:$Y$119,8,0)),"",(VLOOKUP($B22,'Chemical Analysis'!$B$4:$Y$119,8,0))*$E22/100)</f>
        <v>0</v>
      </c>
      <c r="I42" s="29">
        <f>IF(ISNA(VLOOKUP($B22,'Chemical Analysis'!$B$4:$Y$119,9,0)),"",(VLOOKUP($B22,'Chemical Analysis'!$B$4:$Y$119,9,0))*$E22/100)</f>
        <v>0</v>
      </c>
      <c r="J42" s="29">
        <f>IF(ISNA(VLOOKUP($B22,'Chemical Analysis'!$B$4:$Y$119,10,0)),"",(VLOOKUP($B22,'Chemical Analysis'!$B$4:$Y$119,10,0))*$E22/100)</f>
        <v>0</v>
      </c>
      <c r="K42" s="29">
        <f>IF(ISNA(VLOOKUP($B22,'Chemical Analysis'!$B$4:$Y$119,11,0)),"",(VLOOKUP($B22,'Chemical Analysis'!$B$4:$Y$119,11,0))*$E22/100)</f>
        <v>0</v>
      </c>
      <c r="L42" s="29">
        <f>IF(ISNA(VLOOKUP($B22,'Chemical Analysis'!$B$4:$Y$119,12,0)),"",(VLOOKUP($B22,'Chemical Analysis'!$B$4:$Y$119,12,0))*$E22/100)</f>
        <v>0</v>
      </c>
      <c r="M42" s="29">
        <f>IF(ISNA(VLOOKUP($B22,'Chemical Analysis'!$B$4:$Y$119,13,0)),"",(VLOOKUP($B22,'Chemical Analysis'!$B$4:$Y$119,13,0))*$E22/100)</f>
        <v>0</v>
      </c>
      <c r="N42" s="29">
        <f>IF(ISNA(VLOOKUP($B22,'Chemical Analysis'!$B$4:$Y$119,14,0)),"",(VLOOKUP($B22,'Chemical Analysis'!$B$4:$Y$119,14,0))*$E22/100)</f>
        <v>0</v>
      </c>
      <c r="O42" s="29">
        <f>IF(ISNA(VLOOKUP($B22,'Chemical Analysis'!$B$4:$Y$119,15,0)),"",(VLOOKUP($B22,'Chemical Analysis'!$B$4:$Y$119,15,0))*$E22/100)</f>
        <v>0</v>
      </c>
      <c r="P42" s="29">
        <f>IF(ISNA(VLOOKUP($B22,'Chemical Analysis'!$B$4:$Y$119,16,0)),"",(VLOOKUP($B22,'Chemical Analysis'!$B$4:$Y$119,16,0))*$E22/100)</f>
        <v>0</v>
      </c>
      <c r="Q42" s="29">
        <f>IF(ISNA(VLOOKUP($B22,'Chemical Analysis'!$B$4:$Y$119,17,0)),"",(VLOOKUP($B22,'Chemical Analysis'!$B$4:$Y$119,17,0))*$E22/100)</f>
        <v>0</v>
      </c>
      <c r="R42" s="29">
        <f>IF(ISNA(VLOOKUP($B22,'Chemical Analysis'!$B$4:$Y$119,18,0)),"",(VLOOKUP($B22,'Chemical Analysis'!$B$4:$Y$119,18,0))*$E22/100)</f>
        <v>0</v>
      </c>
      <c r="S42" s="29">
        <f>IF(ISNA(VLOOKUP($B22,'Chemical Analysis'!$B$4:$Y$119,19,0)),"",(VLOOKUP($B22,'Chemical Analysis'!$B$4:$Y$119,19,0))*$E22/100)</f>
        <v>0</v>
      </c>
      <c r="T42" s="29">
        <f>IF(ISNA(VLOOKUP($B22,'Chemical Analysis'!$B$4:$Y$119,20,0)),"",(VLOOKUP($B22,'Chemical Analysis'!$B$4:$Y$119,20,0))*$E22/100)</f>
        <v>0</v>
      </c>
      <c r="U42" s="29">
        <f>IF(ISNA(VLOOKUP($B22,'Chemical Analysis'!$B$4:$Y$119,21,0)),"",(VLOOKUP($B22,'Chemical Analysis'!$B$4:$Y$119,21,0))*$E22/100)</f>
        <v>0</v>
      </c>
      <c r="V42" s="29">
        <f>IF(ISNA(VLOOKUP($B22,'Chemical Analysis'!$B$4:$Y$119,22,0)),"",(VLOOKUP($B22,'Chemical Analysis'!$B$4:$Y$119,22,0))*$E22/100)</f>
        <v>0</v>
      </c>
      <c r="W42" s="29">
        <f>IF(ISNA(VLOOKUP($B22,'Chemical Analysis'!$B$4:$Y$119,23,0)),"",(VLOOKUP($B22,'Chemical Analysis'!$B$4:$Y$119,23,0))*$E22/100)</f>
        <v>0</v>
      </c>
      <c r="X42" s="29">
        <f>IF(ISNA(VLOOKUP($B22,'Chemical Analysis'!$B$4:$Y$119,24,0)),"",(VLOOKUP($B22,'Chemical Analysis'!$B$4:$Y$119,24,0))*$E22/100)</f>
        <v>0</v>
      </c>
      <c r="Y42" s="47"/>
      <c r="Z42" s="35"/>
      <c r="AE42"/>
      <c r="AF42"/>
      <c r="AG42"/>
      <c r="AH42"/>
    </row>
    <row r="43" spans="1:35" ht="12.9" thickBot="1" x14ac:dyDescent="0.35">
      <c r="B43" s="29" t="str">
        <f>IF(ISNA(VLOOKUP($B23,'Chemical Analysis'!$B$4:$Y$119,2,0)),"",(VLOOKUP($B23,'Chemical Analysis'!$B$4:$Y$119,2,0))*$E23/100)</f>
        <v/>
      </c>
      <c r="C43" s="29" t="str">
        <f>IF(ISNA(VLOOKUP($B23,'Chemical Analysis'!$B$4:$Y$119,3,0)),"",(VLOOKUP($B23,'Chemical Analysis'!$B$4:$Y$119,3,0))*$E23/100)</f>
        <v/>
      </c>
      <c r="D43" s="29" t="str">
        <f>IF(ISNA(VLOOKUP($B23,'Chemical Analysis'!$B$4:$Y$119,4,0)),"",(VLOOKUP($B23,'Chemical Analysis'!$B$4:$Y$119,4,0))*$E23/100)</f>
        <v/>
      </c>
      <c r="E43" s="29" t="str">
        <f>IF(ISNA(VLOOKUP($B23,'Chemical Analysis'!$B$4:$Y$119,5,0)),"",(VLOOKUP($B23,'Chemical Analysis'!$B$4:$Y$119,5,0))*$E23/100)</f>
        <v/>
      </c>
      <c r="F43" s="29" t="str">
        <f>IF(ISNA(VLOOKUP($B23,'Chemical Analysis'!$B$4:$Y$119,6,0)),"",(VLOOKUP($B23,'Chemical Analysis'!$B$4:$Y$119,6,0))*$E23/100)</f>
        <v/>
      </c>
      <c r="G43" s="29" t="str">
        <f>IF(ISNA(VLOOKUP($B23,'Chemical Analysis'!$B$4:$Y$119,7,0)),"",(VLOOKUP($B23,'Chemical Analysis'!$B$4:$Y$119,7,0))*$E23/100)</f>
        <v/>
      </c>
      <c r="H43" s="29" t="str">
        <f>IF(ISNA(VLOOKUP($B23,'Chemical Analysis'!$B$4:$Y$119,8,0)),"",(VLOOKUP($B23,'Chemical Analysis'!$B$4:$Y$119,8,0))*$E23/100)</f>
        <v/>
      </c>
      <c r="I43" s="29" t="str">
        <f>IF(ISNA(VLOOKUP($B23,'Chemical Analysis'!$B$4:$Y$119,9,0)),"",(VLOOKUP($B23,'Chemical Analysis'!$B$4:$Y$119,9,0))*$E23/100)</f>
        <v/>
      </c>
      <c r="J43" s="29" t="str">
        <f>IF(ISNA(VLOOKUP($B23,'Chemical Analysis'!$B$4:$Y$119,10,0)),"",(VLOOKUP($B23,'Chemical Analysis'!$B$4:$Y$119,10,0))*$E23/100)</f>
        <v/>
      </c>
      <c r="K43" s="29" t="str">
        <f>IF(ISNA(VLOOKUP($B23,'Chemical Analysis'!$B$4:$Y$119,11,0)),"",(VLOOKUP($B23,'Chemical Analysis'!$B$4:$Y$119,11,0))*$E23/100)</f>
        <v/>
      </c>
      <c r="L43" s="29" t="str">
        <f>IF(ISNA(VLOOKUP($B23,'Chemical Analysis'!$B$4:$Y$119,12,0)),"",(VLOOKUP($B23,'Chemical Analysis'!$B$4:$Y$119,12,0))*$E23/100)</f>
        <v/>
      </c>
      <c r="M43" s="29" t="str">
        <f>IF(ISNA(VLOOKUP($B23,'Chemical Analysis'!$B$4:$Y$119,13,0)),"",(VLOOKUP($B23,'Chemical Analysis'!$B$4:$Y$119,13,0))*$E23/100)</f>
        <v/>
      </c>
      <c r="N43" s="29" t="str">
        <f>IF(ISNA(VLOOKUP($B23,'Chemical Analysis'!$B$4:$Y$119,14,0)),"",(VLOOKUP($B23,'Chemical Analysis'!$B$4:$Y$119,14,0))*$E23/100)</f>
        <v/>
      </c>
      <c r="O43" s="29" t="str">
        <f>IF(ISNA(VLOOKUP($B23,'Chemical Analysis'!$B$4:$Y$119,15,0)),"",(VLOOKUP($B23,'Chemical Analysis'!$B$4:$Y$119,15,0))*$E23/100)</f>
        <v/>
      </c>
      <c r="P43" s="29" t="str">
        <f>IF(ISNA(VLOOKUP($B23,'Chemical Analysis'!$B$4:$Y$119,16,0)),"",(VLOOKUP($B23,'Chemical Analysis'!$B$4:$Y$119,16,0))*$E23/100)</f>
        <v/>
      </c>
      <c r="Q43" s="29" t="str">
        <f>IF(ISNA(VLOOKUP($B23,'Chemical Analysis'!$B$4:$Y$119,17,0)),"",(VLOOKUP($B23,'Chemical Analysis'!$B$4:$Y$119,17,0))*$E23/100)</f>
        <v/>
      </c>
      <c r="R43" s="29" t="str">
        <f>IF(ISNA(VLOOKUP($B23,'Chemical Analysis'!$B$4:$Y$119,18,0)),"",(VLOOKUP($B23,'Chemical Analysis'!$B$4:$Y$119,18,0))*$E23/100)</f>
        <v/>
      </c>
      <c r="S43" s="29" t="str">
        <f>IF(ISNA(VLOOKUP($B23,'Chemical Analysis'!$B$4:$Y$119,19,0)),"",(VLOOKUP($B23,'Chemical Analysis'!$B$4:$Y$119,19,0))*$E23/100)</f>
        <v/>
      </c>
      <c r="T43" s="29" t="str">
        <f>IF(ISNA(VLOOKUP($B23,'Chemical Analysis'!$B$4:$Y$119,20,0)),"",(VLOOKUP($B23,'Chemical Analysis'!$B$4:$Y$119,20,0))*$E23/100)</f>
        <v/>
      </c>
      <c r="U43" s="29" t="str">
        <f>IF(ISNA(VLOOKUP($B23,'Chemical Analysis'!$B$4:$Y$119,21,0)),"",(VLOOKUP($B23,'Chemical Analysis'!$B$4:$Y$119,21,0))*$E23/100)</f>
        <v/>
      </c>
      <c r="V43" s="29" t="str">
        <f>IF(ISNA(VLOOKUP($B23,'Chemical Analysis'!$B$4:$Y$119,22,0)),"",(VLOOKUP($B23,'Chemical Analysis'!$B$4:$Y$119,22,0))*$E23/100)</f>
        <v/>
      </c>
      <c r="W43" s="29" t="str">
        <f>IF(ISNA(VLOOKUP($B23,'Chemical Analysis'!$B$4:$Y$119,23,0)),"",(VLOOKUP($B23,'Chemical Analysis'!$B$4:$Y$119,23,0))*$E23/100)</f>
        <v/>
      </c>
      <c r="X43" s="29" t="str">
        <f>IF(ISNA(VLOOKUP($B23,'Chemical Analysis'!$B$4:$Y$119,24,0)),"",(VLOOKUP($B23,'Chemical Analysis'!$B$4:$Y$119,24,0))*$E23/100)</f>
        <v/>
      </c>
      <c r="Y43" s="44"/>
      <c r="Z43" s="35"/>
      <c r="AE43"/>
      <c r="AF43"/>
      <c r="AG43"/>
      <c r="AH43"/>
    </row>
    <row r="44" spans="1:35" ht="12.9" thickBot="1" x14ac:dyDescent="0.35">
      <c r="B44" s="29" t="str">
        <f>IF(ISNA(VLOOKUP($B24,'Chemical Analysis'!$B$4:$Y$119,2,0)),"",(VLOOKUP($B24,'Chemical Analysis'!$B$4:$Y$119,2,0))*$E24/100)</f>
        <v/>
      </c>
      <c r="C44" s="29" t="str">
        <f>IF(ISNA(VLOOKUP($B24,'Chemical Analysis'!$B$4:$Y$119,3,0)),"",(VLOOKUP($B24,'Chemical Analysis'!$B$4:$Y$119,3,0))*$E24/100)</f>
        <v/>
      </c>
      <c r="D44" s="29" t="str">
        <f>IF(ISNA(VLOOKUP($B24,'Chemical Analysis'!$B$4:$Y$119,4,0)),"",(VLOOKUP($B24,'Chemical Analysis'!$B$4:$Y$119,4,0))*$E24/100)</f>
        <v/>
      </c>
      <c r="E44" s="29" t="str">
        <f>IF(ISNA(VLOOKUP($B24,'Chemical Analysis'!$B$4:$Y$119,5,0)),"",(VLOOKUP($B24,'Chemical Analysis'!$B$4:$Y$119,5,0))*$E24/100)</f>
        <v/>
      </c>
      <c r="F44" s="29" t="str">
        <f>IF(ISNA(VLOOKUP($B24,'Chemical Analysis'!$B$4:$Y$119,6,0)),"",(VLOOKUP($B24,'Chemical Analysis'!$B$4:$Y$119,6,0))*$E24/100)</f>
        <v/>
      </c>
      <c r="G44" s="29" t="str">
        <f>IF(ISNA(VLOOKUP($B24,'Chemical Analysis'!$B$4:$Y$119,7,0)),"",(VLOOKUP($B24,'Chemical Analysis'!$B$4:$Y$119,7,0))*$E24/100)</f>
        <v/>
      </c>
      <c r="H44" s="29" t="str">
        <f>IF(ISNA(VLOOKUP($B24,'Chemical Analysis'!$B$4:$Y$119,8,0)),"",(VLOOKUP($B24,'Chemical Analysis'!$B$4:$Y$119,8,0))*$E24/100)</f>
        <v/>
      </c>
      <c r="I44" s="29" t="str">
        <f>IF(ISNA(VLOOKUP($B24,'Chemical Analysis'!$B$4:$Y$119,9,0)),"",(VLOOKUP($B24,'Chemical Analysis'!$B$4:$Y$119,9,0))*$E24/100)</f>
        <v/>
      </c>
      <c r="J44" s="29" t="str">
        <f>IF(ISNA(VLOOKUP($B24,'Chemical Analysis'!$B$4:$Y$119,10,0)),"",(VLOOKUP($B24,'Chemical Analysis'!$B$4:$Y$119,10,0))*$E24/100)</f>
        <v/>
      </c>
      <c r="K44" s="29" t="str">
        <f>IF(ISNA(VLOOKUP($B24,'Chemical Analysis'!$B$4:$Y$119,11,0)),"",(VLOOKUP($B24,'Chemical Analysis'!$B$4:$Y$119,11,0))*$E24/100)</f>
        <v/>
      </c>
      <c r="L44" s="29" t="str">
        <f>IF(ISNA(VLOOKUP($B24,'Chemical Analysis'!$B$4:$Y$119,12,0)),"",(VLOOKUP($B24,'Chemical Analysis'!$B$4:$Y$119,12,0))*$E24/100)</f>
        <v/>
      </c>
      <c r="M44" s="29" t="str">
        <f>IF(ISNA(VLOOKUP($B24,'Chemical Analysis'!$B$4:$Y$119,13,0)),"",(VLOOKUP($B24,'Chemical Analysis'!$B$4:$Y$119,13,0))*$E24/100)</f>
        <v/>
      </c>
      <c r="N44" s="29" t="str">
        <f>IF(ISNA(VLOOKUP($B24,'Chemical Analysis'!$B$4:$Y$119,14,0)),"",(VLOOKUP($B24,'Chemical Analysis'!$B$4:$Y$119,14,0))*$E24/100)</f>
        <v/>
      </c>
      <c r="O44" s="29" t="str">
        <f>IF(ISNA(VLOOKUP($B24,'Chemical Analysis'!$B$4:$Y$119,15,0)),"",(VLOOKUP($B24,'Chemical Analysis'!$B$4:$Y$119,15,0))*$E24/100)</f>
        <v/>
      </c>
      <c r="P44" s="29" t="str">
        <f>IF(ISNA(VLOOKUP($B24,'Chemical Analysis'!$B$4:$Y$119,16,0)),"",(VLOOKUP($B24,'Chemical Analysis'!$B$4:$Y$119,16,0))*$E24/100)</f>
        <v/>
      </c>
      <c r="Q44" s="29" t="str">
        <f>IF(ISNA(VLOOKUP($B24,'Chemical Analysis'!$B$4:$Y$119,17,0)),"",(VLOOKUP($B24,'Chemical Analysis'!$B$4:$Y$119,17,0))*$E24/100)</f>
        <v/>
      </c>
      <c r="R44" s="29" t="str">
        <f>IF(ISNA(VLOOKUP($B24,'Chemical Analysis'!$B$4:$Y$119,18,0)),"",(VLOOKUP($B24,'Chemical Analysis'!$B$4:$Y$119,18,0))*$E24/100)</f>
        <v/>
      </c>
      <c r="S44" s="29" t="str">
        <f>IF(ISNA(VLOOKUP($B24,'Chemical Analysis'!$B$4:$Y$119,19,0)),"",(VLOOKUP($B24,'Chemical Analysis'!$B$4:$Y$119,19,0))*$E24/100)</f>
        <v/>
      </c>
      <c r="T44" s="29" t="str">
        <f>IF(ISNA(VLOOKUP($B24,'Chemical Analysis'!$B$4:$Y$119,20,0)),"",(VLOOKUP($B24,'Chemical Analysis'!$B$4:$Y$119,20,0))*$E24/100)</f>
        <v/>
      </c>
      <c r="U44" s="29" t="str">
        <f>IF(ISNA(VLOOKUP($B24,'Chemical Analysis'!$B$4:$Y$119,21,0)),"",(VLOOKUP($B24,'Chemical Analysis'!$B$4:$Y$119,21,0))*$E24/100)</f>
        <v/>
      </c>
      <c r="V44" s="29" t="str">
        <f>IF(ISNA(VLOOKUP($B24,'Chemical Analysis'!$B$4:$Y$119,22,0)),"",(VLOOKUP($B24,'Chemical Analysis'!$B$4:$Y$119,22,0))*$E24/100)</f>
        <v/>
      </c>
      <c r="W44" s="29" t="str">
        <f>IF(ISNA(VLOOKUP($B24,'Chemical Analysis'!$B$4:$Y$119,23,0)),"",(VLOOKUP($B24,'Chemical Analysis'!$B$4:$Y$119,23,0))*$E24/100)</f>
        <v/>
      </c>
      <c r="X44" s="29" t="str">
        <f>IF(ISNA(VLOOKUP($B24,'Chemical Analysis'!$B$4:$Y$119,24,0)),"",(VLOOKUP($B24,'Chemical Analysis'!$B$4:$Y$119,24,0))*$E24/100)</f>
        <v/>
      </c>
      <c r="Y44" s="44"/>
      <c r="Z44" s="35"/>
      <c r="AE44"/>
      <c r="AF44"/>
      <c r="AG44"/>
      <c r="AH44"/>
    </row>
    <row r="45" spans="1:35" ht="12.9" thickBot="1" x14ac:dyDescent="0.35">
      <c r="B45" s="29" t="str">
        <f>IF(ISNA(VLOOKUP($B25,'Chemical Analysis'!$B$4:$Y$119,2,0)),"",(VLOOKUP($B25,'Chemical Analysis'!$B$4:$Y$119,2,0))*$E25/100)</f>
        <v/>
      </c>
      <c r="C45" s="29" t="str">
        <f>IF(ISNA(VLOOKUP($B25,'Chemical Analysis'!$B$4:$Y$119,3,0)),"",(VLOOKUP($B25,'Chemical Analysis'!$B$4:$Y$119,3,0))*$E25/100)</f>
        <v/>
      </c>
      <c r="D45" s="29" t="str">
        <f>IF(ISNA(VLOOKUP($B25,'Chemical Analysis'!$B$4:$Y$119,4,0)),"",(VLOOKUP($B25,'Chemical Analysis'!$B$4:$Y$119,4,0))*$E25/100)</f>
        <v/>
      </c>
      <c r="E45" s="29" t="str">
        <f>IF(ISNA(VLOOKUP($B25,'Chemical Analysis'!$B$4:$Y$119,5,0)),"",(VLOOKUP($B25,'Chemical Analysis'!$B$4:$Y$119,5,0))*$E25/100)</f>
        <v/>
      </c>
      <c r="F45" s="29" t="str">
        <f>IF(ISNA(VLOOKUP($B25,'Chemical Analysis'!$B$4:$Y$119,6,0)),"",(VLOOKUP($B25,'Chemical Analysis'!$B$4:$Y$119,6,0))*$E25/100)</f>
        <v/>
      </c>
      <c r="G45" s="29" t="str">
        <f>IF(ISNA(VLOOKUP($B25,'Chemical Analysis'!$B$4:$Y$119,7,0)),"",(VLOOKUP($B25,'Chemical Analysis'!$B$4:$Y$119,7,0))*$E25/100)</f>
        <v/>
      </c>
      <c r="H45" s="29" t="str">
        <f>IF(ISNA(VLOOKUP($B25,'Chemical Analysis'!$B$4:$Y$119,8,0)),"",(VLOOKUP($B25,'Chemical Analysis'!$B$4:$Y$119,8,0))*$E25/100)</f>
        <v/>
      </c>
      <c r="I45" s="29" t="str">
        <f>IF(ISNA(VLOOKUP($B25,'Chemical Analysis'!$B$4:$Y$119,9,0)),"",(VLOOKUP($B25,'Chemical Analysis'!$B$4:$Y$119,9,0))*$E25/100)</f>
        <v/>
      </c>
      <c r="J45" s="29" t="str">
        <f>IF(ISNA(VLOOKUP($B25,'Chemical Analysis'!$B$4:$Y$119,10,0)),"",(VLOOKUP($B25,'Chemical Analysis'!$B$4:$Y$119,10,0))*$E25/100)</f>
        <v/>
      </c>
      <c r="K45" s="29" t="str">
        <f>IF(ISNA(VLOOKUP($B25,'Chemical Analysis'!$B$4:$Y$119,11,0)),"",(VLOOKUP($B25,'Chemical Analysis'!$B$4:$Y$119,11,0))*$E25/100)</f>
        <v/>
      </c>
      <c r="L45" s="29" t="str">
        <f>IF(ISNA(VLOOKUP($B25,'Chemical Analysis'!$B$4:$Y$119,12,0)),"",(VLOOKUP($B25,'Chemical Analysis'!$B$4:$Y$119,12,0))*$E25/100)</f>
        <v/>
      </c>
      <c r="M45" s="29" t="str">
        <f>IF(ISNA(VLOOKUP($B25,'Chemical Analysis'!$B$4:$Y$119,13,0)),"",(VLOOKUP($B25,'Chemical Analysis'!$B$4:$Y$119,13,0))*$E25/100)</f>
        <v/>
      </c>
      <c r="N45" s="29" t="str">
        <f>IF(ISNA(VLOOKUP($B25,'Chemical Analysis'!$B$4:$Y$119,14,0)),"",(VLOOKUP($B25,'Chemical Analysis'!$B$4:$Y$119,14,0))*$E25/100)</f>
        <v/>
      </c>
      <c r="O45" s="29" t="str">
        <f>IF(ISNA(VLOOKUP($B25,'Chemical Analysis'!$B$4:$Y$119,15,0)),"",(VLOOKUP($B25,'Chemical Analysis'!$B$4:$Y$119,15,0))*$E25/100)</f>
        <v/>
      </c>
      <c r="P45" s="29" t="str">
        <f>IF(ISNA(VLOOKUP($B25,'Chemical Analysis'!$B$4:$Y$119,16,0)),"",(VLOOKUP($B25,'Chemical Analysis'!$B$4:$Y$119,16,0))*$E25/100)</f>
        <v/>
      </c>
      <c r="Q45" s="29" t="str">
        <f>IF(ISNA(VLOOKUP($B25,'Chemical Analysis'!$B$4:$Y$119,17,0)),"",(VLOOKUP($B25,'Chemical Analysis'!$B$4:$Y$119,17,0))*$E25/100)</f>
        <v/>
      </c>
      <c r="R45" s="29" t="str">
        <f>IF(ISNA(VLOOKUP($B25,'Chemical Analysis'!$B$4:$Y$119,18,0)),"",(VLOOKUP($B25,'Chemical Analysis'!$B$4:$Y$119,18,0))*$E25/100)</f>
        <v/>
      </c>
      <c r="S45" s="29" t="str">
        <f>IF(ISNA(VLOOKUP($B25,'Chemical Analysis'!$B$4:$Y$119,19,0)),"",(VLOOKUP($B25,'Chemical Analysis'!$B$4:$Y$119,19,0))*$E25/100)</f>
        <v/>
      </c>
      <c r="T45" s="29" t="str">
        <f>IF(ISNA(VLOOKUP($B25,'Chemical Analysis'!$B$4:$Y$119,20,0)),"",(VLOOKUP($B25,'Chemical Analysis'!$B$4:$Y$119,20,0))*$E25/100)</f>
        <v/>
      </c>
      <c r="U45" s="29" t="str">
        <f>IF(ISNA(VLOOKUP($B25,'Chemical Analysis'!$B$4:$Y$119,21,0)),"",(VLOOKUP($B25,'Chemical Analysis'!$B$4:$Y$119,21,0))*$E25/100)</f>
        <v/>
      </c>
      <c r="V45" s="29" t="str">
        <f>IF(ISNA(VLOOKUP($B25,'Chemical Analysis'!$B$4:$Y$119,22,0)),"",(VLOOKUP($B25,'Chemical Analysis'!$B$4:$Y$119,22,0))*$E25/100)</f>
        <v/>
      </c>
      <c r="W45" s="29" t="str">
        <f>IF(ISNA(VLOOKUP($B25,'Chemical Analysis'!$B$4:$Y$119,23,0)),"",(VLOOKUP($B25,'Chemical Analysis'!$B$4:$Y$119,23,0))*$E25/100)</f>
        <v/>
      </c>
      <c r="X45" s="29" t="str">
        <f>IF(ISNA(VLOOKUP($B25,'Chemical Analysis'!$B$4:$Y$119,24,0)),"",(VLOOKUP($B25,'Chemical Analysis'!$B$4:$Y$119,24,0))*$E25/100)</f>
        <v/>
      </c>
      <c r="Y45" s="44"/>
      <c r="Z45" s="35"/>
      <c r="AE45"/>
      <c r="AF45"/>
      <c r="AG45"/>
      <c r="AH45"/>
    </row>
    <row r="46" spans="1:35" ht="12.9" thickBot="1" x14ac:dyDescent="0.35">
      <c r="B46" s="29" t="str">
        <f>IF(ISNA(VLOOKUP($B26,'Chemical Analysis'!$B$4:$Y$119,2,0)),"",(VLOOKUP($B26,'Chemical Analysis'!$B$4:$Y$119,2,0))*$E26/100)</f>
        <v/>
      </c>
      <c r="C46" s="29" t="str">
        <f>IF(ISNA(VLOOKUP($B26,'Chemical Analysis'!$B$4:$Y$119,3,0)),"",(VLOOKUP($B26,'Chemical Analysis'!$B$4:$Y$119,3,0))*$E26/100)</f>
        <v/>
      </c>
      <c r="D46" s="29" t="str">
        <f>IF(ISNA(VLOOKUP($B26,'Chemical Analysis'!$B$4:$Y$119,4,0)),"",(VLOOKUP($B26,'Chemical Analysis'!$B$4:$Y$119,4,0))*$E26/100)</f>
        <v/>
      </c>
      <c r="E46" s="29" t="str">
        <f>IF(ISNA(VLOOKUP($B26,'Chemical Analysis'!$B$4:$Y$119,5,0)),"",(VLOOKUP($B26,'Chemical Analysis'!$B$4:$Y$119,5,0))*$E26/100)</f>
        <v/>
      </c>
      <c r="F46" s="29" t="str">
        <f>IF(ISNA(VLOOKUP($B26,'Chemical Analysis'!$B$4:$Y$119,6,0)),"",(VLOOKUP($B26,'Chemical Analysis'!$B$4:$Y$119,6,0))*$E26/100)</f>
        <v/>
      </c>
      <c r="G46" s="29" t="str">
        <f>IF(ISNA(VLOOKUP($B26,'Chemical Analysis'!$B$4:$Y$119,7,0)),"",(VLOOKUP($B26,'Chemical Analysis'!$B$4:$Y$119,7,0))*$E26/100)</f>
        <v/>
      </c>
      <c r="H46" s="29" t="str">
        <f>IF(ISNA(VLOOKUP($B26,'Chemical Analysis'!$B$4:$Y$119,8,0)),"",(VLOOKUP($B26,'Chemical Analysis'!$B$4:$Y$119,8,0))*$E26/100)</f>
        <v/>
      </c>
      <c r="I46" s="29" t="str">
        <f>IF(ISNA(VLOOKUP($B26,'Chemical Analysis'!$B$4:$Y$119,9,0)),"",(VLOOKUP($B26,'Chemical Analysis'!$B$4:$Y$119,9,0))*$E26/100)</f>
        <v/>
      </c>
      <c r="J46" s="29" t="str">
        <f>IF(ISNA(VLOOKUP($B26,'Chemical Analysis'!$B$4:$Y$119,10,0)),"",(VLOOKUP($B26,'Chemical Analysis'!$B$4:$Y$119,10,0))*$E26/100)</f>
        <v/>
      </c>
      <c r="K46" s="29" t="str">
        <f>IF(ISNA(VLOOKUP($B26,'Chemical Analysis'!$B$4:$Y$119,11,0)),"",(VLOOKUP($B26,'Chemical Analysis'!$B$4:$Y$119,11,0))*$E26/100)</f>
        <v/>
      </c>
      <c r="L46" s="29" t="str">
        <f>IF(ISNA(VLOOKUP($B26,'Chemical Analysis'!$B$4:$Y$119,12,0)),"",(VLOOKUP($B26,'Chemical Analysis'!$B$4:$Y$119,12,0))*$E26/100)</f>
        <v/>
      </c>
      <c r="M46" s="29" t="str">
        <f>IF(ISNA(VLOOKUP($B26,'Chemical Analysis'!$B$4:$Y$119,13,0)),"",(VLOOKUP($B26,'Chemical Analysis'!$B$4:$Y$119,13,0))*$E26/100)</f>
        <v/>
      </c>
      <c r="N46" s="29" t="str">
        <f>IF(ISNA(VLOOKUP($B26,'Chemical Analysis'!$B$4:$Y$119,14,0)),"",(VLOOKUP($B26,'Chemical Analysis'!$B$4:$Y$119,14,0))*$E26/100)</f>
        <v/>
      </c>
      <c r="O46" s="29" t="str">
        <f>IF(ISNA(VLOOKUP($B26,'Chemical Analysis'!$B$4:$Y$119,15,0)),"",(VLOOKUP($B26,'Chemical Analysis'!$B$4:$Y$119,15,0))*$E26/100)</f>
        <v/>
      </c>
      <c r="P46" s="29" t="str">
        <f>IF(ISNA(VLOOKUP($B26,'Chemical Analysis'!$B$4:$Y$119,16,0)),"",(VLOOKUP($B26,'Chemical Analysis'!$B$4:$Y$119,16,0))*$E26/100)</f>
        <v/>
      </c>
      <c r="Q46" s="29" t="str">
        <f>IF(ISNA(VLOOKUP($B26,'Chemical Analysis'!$B$4:$Y$119,17,0)),"",(VLOOKUP($B26,'Chemical Analysis'!$B$4:$Y$119,17,0))*$E26/100)</f>
        <v/>
      </c>
      <c r="R46" s="29" t="str">
        <f>IF(ISNA(VLOOKUP($B26,'Chemical Analysis'!$B$4:$Y$119,18,0)),"",(VLOOKUP($B26,'Chemical Analysis'!$B$4:$Y$119,18,0))*$E26/100)</f>
        <v/>
      </c>
      <c r="S46" s="29" t="str">
        <f>IF(ISNA(VLOOKUP($B26,'Chemical Analysis'!$B$4:$Y$119,19,0)),"",(VLOOKUP($B26,'Chemical Analysis'!$B$4:$Y$119,19,0))*$E26/100)</f>
        <v/>
      </c>
      <c r="T46" s="29" t="str">
        <f>IF(ISNA(VLOOKUP($B26,'Chemical Analysis'!$B$4:$Y$119,20,0)),"",(VLOOKUP($B26,'Chemical Analysis'!$B$4:$Y$119,20,0))*$E26/100)</f>
        <v/>
      </c>
      <c r="U46" s="29" t="str">
        <f>IF(ISNA(VLOOKUP($B26,'Chemical Analysis'!$B$4:$Y$119,21,0)),"",(VLOOKUP($B26,'Chemical Analysis'!$B$4:$Y$119,21,0))*$E26/100)</f>
        <v/>
      </c>
      <c r="V46" s="29" t="str">
        <f>IF(ISNA(VLOOKUP($B26,'Chemical Analysis'!$B$4:$Y$119,22,0)),"",(VLOOKUP($B26,'Chemical Analysis'!$B$4:$Y$119,22,0))*$E26/100)</f>
        <v/>
      </c>
      <c r="W46" s="29" t="str">
        <f>IF(ISNA(VLOOKUP($B26,'Chemical Analysis'!$B$4:$Y$119,23,0)),"",(VLOOKUP($B26,'Chemical Analysis'!$B$4:$Y$119,23,0))*$E26/100)</f>
        <v/>
      </c>
      <c r="X46" s="29" t="str">
        <f>IF(ISNA(VLOOKUP($B26,'Chemical Analysis'!$B$4:$Y$119,24,0)),"",(VLOOKUP($B26,'Chemical Analysis'!$B$4:$Y$119,24,0))*$E26/100)</f>
        <v/>
      </c>
      <c r="Y46" s="44"/>
      <c r="Z46" s="35"/>
      <c r="AE46"/>
      <c r="AF46"/>
      <c r="AG46"/>
      <c r="AH46"/>
    </row>
    <row r="47" spans="1:35" ht="12.9" thickBot="1" x14ac:dyDescent="0.35">
      <c r="B47" s="29" t="str">
        <f>IF(ISNA(VLOOKUP($B27,'Chemical Analysis'!$B$4:$Y$119,2,0)),"",(VLOOKUP($B27,'Chemical Analysis'!$B$4:$Y$119,2,0))*$E27/100)</f>
        <v/>
      </c>
      <c r="C47" s="29" t="str">
        <f>IF(ISNA(VLOOKUP($B27,'Chemical Analysis'!$B$4:$Y$119,3,0)),"",(VLOOKUP($B27,'Chemical Analysis'!$B$4:$Y$119,3,0))*$E27/100)</f>
        <v/>
      </c>
      <c r="D47" s="29" t="str">
        <f>IF(ISNA(VLOOKUP($B27,'Chemical Analysis'!$B$4:$Y$119,4,0)),"",(VLOOKUP($B27,'Chemical Analysis'!$B$4:$Y$119,4,0))*$E27/100)</f>
        <v/>
      </c>
      <c r="E47" s="29" t="str">
        <f>IF(ISNA(VLOOKUP($B27,'Chemical Analysis'!$B$4:$Y$119,5,0)),"",(VLOOKUP($B27,'Chemical Analysis'!$B$4:$Y$119,5,0))*$E27/100)</f>
        <v/>
      </c>
      <c r="F47" s="29" t="str">
        <f>IF(ISNA(VLOOKUP($B27,'Chemical Analysis'!$B$4:$Y$119,6,0)),"",(VLOOKUP($B27,'Chemical Analysis'!$B$4:$Y$119,6,0))*$E27/100)</f>
        <v/>
      </c>
      <c r="G47" s="29" t="str">
        <f>IF(ISNA(VLOOKUP($B27,'Chemical Analysis'!$B$4:$Y$119,7,0)),"",(VLOOKUP($B27,'Chemical Analysis'!$B$4:$Y$119,7,0))*$E27/100)</f>
        <v/>
      </c>
      <c r="H47" s="29" t="str">
        <f>IF(ISNA(VLOOKUP($B27,'Chemical Analysis'!$B$4:$Y$119,8,0)),"",(VLOOKUP($B27,'Chemical Analysis'!$B$4:$Y$119,8,0))*$E27/100)</f>
        <v/>
      </c>
      <c r="I47" s="29" t="str">
        <f>IF(ISNA(VLOOKUP($B27,'Chemical Analysis'!$B$4:$Y$119,9,0)),"",(VLOOKUP($B27,'Chemical Analysis'!$B$4:$Y$119,9,0))*$E27/100)</f>
        <v/>
      </c>
      <c r="J47" s="29" t="str">
        <f>IF(ISNA(VLOOKUP($B27,'Chemical Analysis'!$B$4:$Y$119,10,0)),"",(VLOOKUP($B27,'Chemical Analysis'!$B$4:$Y$119,10,0))*$E27/100)</f>
        <v/>
      </c>
      <c r="K47" s="29" t="str">
        <f>IF(ISNA(VLOOKUP($B27,'Chemical Analysis'!$B$4:$Y$119,11,0)),"",(VLOOKUP($B27,'Chemical Analysis'!$B$4:$Y$119,11,0))*$E27/100)</f>
        <v/>
      </c>
      <c r="L47" s="29" t="str">
        <f>IF(ISNA(VLOOKUP($B27,'Chemical Analysis'!$B$4:$Y$119,12,0)),"",(VLOOKUP($B27,'Chemical Analysis'!$B$4:$Y$119,12,0))*$E27/100)</f>
        <v/>
      </c>
      <c r="M47" s="29" t="str">
        <f>IF(ISNA(VLOOKUP($B27,'Chemical Analysis'!$B$4:$Y$119,13,0)),"",(VLOOKUP($B27,'Chemical Analysis'!$B$4:$Y$119,13,0))*$E27/100)</f>
        <v/>
      </c>
      <c r="N47" s="29" t="str">
        <f>IF(ISNA(VLOOKUP($B27,'Chemical Analysis'!$B$4:$Y$119,14,0)),"",(VLOOKUP($B27,'Chemical Analysis'!$B$4:$Y$119,14,0))*$E27/100)</f>
        <v/>
      </c>
      <c r="O47" s="29" t="str">
        <f>IF(ISNA(VLOOKUP($B27,'Chemical Analysis'!$B$4:$Y$119,15,0)),"",(VLOOKUP($B27,'Chemical Analysis'!$B$4:$Y$119,15,0))*$E27/100)</f>
        <v/>
      </c>
      <c r="P47" s="29" t="str">
        <f>IF(ISNA(VLOOKUP($B27,'Chemical Analysis'!$B$4:$Y$119,16,0)),"",(VLOOKUP($B27,'Chemical Analysis'!$B$4:$Y$119,16,0))*$E27/100)</f>
        <v/>
      </c>
      <c r="Q47" s="29" t="str">
        <f>IF(ISNA(VLOOKUP($B27,'Chemical Analysis'!$B$4:$Y$119,17,0)),"",(VLOOKUP($B27,'Chemical Analysis'!$B$4:$Y$119,17,0))*$E27/100)</f>
        <v/>
      </c>
      <c r="R47" s="29" t="str">
        <f>IF(ISNA(VLOOKUP($B27,'Chemical Analysis'!$B$4:$Y$119,18,0)),"",(VLOOKUP($B27,'Chemical Analysis'!$B$4:$Y$119,18,0))*$E27/100)</f>
        <v/>
      </c>
      <c r="S47" s="29" t="str">
        <f>IF(ISNA(VLOOKUP($B27,'Chemical Analysis'!$B$4:$Y$119,19,0)),"",(VLOOKUP($B27,'Chemical Analysis'!$B$4:$Y$119,19,0))*$E27/100)</f>
        <v/>
      </c>
      <c r="T47" s="29" t="str">
        <f>IF(ISNA(VLOOKUP($B27,'Chemical Analysis'!$B$4:$Y$119,20,0)),"",(VLOOKUP($B27,'Chemical Analysis'!$B$4:$Y$119,20,0))*$E27/100)</f>
        <v/>
      </c>
      <c r="U47" s="29" t="str">
        <f>IF(ISNA(VLOOKUP($B27,'Chemical Analysis'!$B$4:$Y$119,21,0)),"",(VLOOKUP($B27,'Chemical Analysis'!$B$4:$Y$119,21,0))*$E27/100)</f>
        <v/>
      </c>
      <c r="V47" s="29" t="str">
        <f>IF(ISNA(VLOOKUP($B27,'Chemical Analysis'!$B$4:$Y$119,22,0)),"",(VLOOKUP($B27,'Chemical Analysis'!$B$4:$Y$119,22,0))*$E27/100)</f>
        <v/>
      </c>
      <c r="W47" s="29" t="str">
        <f>IF(ISNA(VLOOKUP($B27,'Chemical Analysis'!$B$4:$Y$119,23,0)),"",(VLOOKUP($B27,'Chemical Analysis'!$B$4:$Y$119,23,0))*$E27/100)</f>
        <v/>
      </c>
      <c r="X47" s="29" t="str">
        <f>IF(ISNA(VLOOKUP($B27,'Chemical Analysis'!$B$4:$Y$119,24,0)),"",(VLOOKUP($B27,'Chemical Analysis'!$B$4:$Y$119,24,0))*$E27/100)</f>
        <v/>
      </c>
      <c r="Y47" s="43"/>
      <c r="Z47" s="35"/>
      <c r="AE47"/>
      <c r="AF47"/>
      <c r="AG47"/>
      <c r="AH47"/>
    </row>
    <row r="48" spans="1:35" ht="12.9" thickBot="1" x14ac:dyDescent="0.35">
      <c r="B48" s="29" t="str">
        <f>IF(ISNA(VLOOKUP($B28,'Chemical Analysis'!$B$4:$Y$119,2,0)),"",(VLOOKUP($B28,'Chemical Analysis'!$B$4:$Y$119,2,0))*$E28/100)</f>
        <v/>
      </c>
      <c r="C48" s="29" t="str">
        <f>IF(ISNA(VLOOKUP($B28,'Chemical Analysis'!$B$4:$Y$119,3,0)),"",(VLOOKUP($B28,'Chemical Analysis'!$B$4:$Y$119,3,0))*$E28/100)</f>
        <v/>
      </c>
      <c r="D48" s="29" t="str">
        <f>IF(ISNA(VLOOKUP($B28,'Chemical Analysis'!$B$4:$Y$119,4,0)),"",(VLOOKUP($B28,'Chemical Analysis'!$B$4:$Y$119,4,0))*$E28/100)</f>
        <v/>
      </c>
      <c r="E48" s="29" t="str">
        <f>IF(ISNA(VLOOKUP($B28,'Chemical Analysis'!$B$4:$Y$119,5,0)),"",(VLOOKUP($B28,'Chemical Analysis'!$B$4:$Y$119,5,0))*$E28/100)</f>
        <v/>
      </c>
      <c r="F48" s="29" t="str">
        <f>IF(ISNA(VLOOKUP($B28,'Chemical Analysis'!$B$4:$Y$119,6,0)),"",(VLOOKUP($B28,'Chemical Analysis'!$B$4:$Y$119,6,0))*$E28/100)</f>
        <v/>
      </c>
      <c r="G48" s="29" t="str">
        <f>IF(ISNA(VLOOKUP($B28,'Chemical Analysis'!$B$4:$Y$119,7,0)),"",(VLOOKUP($B28,'Chemical Analysis'!$B$4:$Y$119,7,0))*$E28/100)</f>
        <v/>
      </c>
      <c r="H48" s="29" t="str">
        <f>IF(ISNA(VLOOKUP($B28,'Chemical Analysis'!$B$4:$Y$119,8,0)),"",(VLOOKUP($B28,'Chemical Analysis'!$B$4:$Y$119,8,0))*$E28/100)</f>
        <v/>
      </c>
      <c r="I48" s="29" t="str">
        <f>IF(ISNA(VLOOKUP($B28,'Chemical Analysis'!$B$4:$Y$119,9,0)),"",(VLOOKUP($B28,'Chemical Analysis'!$B$4:$Y$119,9,0))*$E28/100)</f>
        <v/>
      </c>
      <c r="J48" s="29" t="str">
        <f>IF(ISNA(VLOOKUP($B28,'Chemical Analysis'!$B$4:$Y$119,10,0)),"",(VLOOKUP($B28,'Chemical Analysis'!$B$4:$Y$119,10,0))*$E28/100)</f>
        <v/>
      </c>
      <c r="K48" s="29" t="str">
        <f>IF(ISNA(VLOOKUP($B28,'Chemical Analysis'!$B$4:$Y$119,11,0)),"",(VLOOKUP($B28,'Chemical Analysis'!$B$4:$Y$119,11,0))*$E28/100)</f>
        <v/>
      </c>
      <c r="L48" s="29" t="str">
        <f>IF(ISNA(VLOOKUP($B28,'Chemical Analysis'!$B$4:$Y$119,12,0)),"",(VLOOKUP($B28,'Chemical Analysis'!$B$4:$Y$119,12,0))*$E28/100)</f>
        <v/>
      </c>
      <c r="M48" s="29" t="str">
        <f>IF(ISNA(VLOOKUP($B28,'Chemical Analysis'!$B$4:$Y$119,13,0)),"",(VLOOKUP($B28,'Chemical Analysis'!$B$4:$Y$119,13,0))*$E28/100)</f>
        <v/>
      </c>
      <c r="N48" s="29" t="str">
        <f>IF(ISNA(VLOOKUP($B28,'Chemical Analysis'!$B$4:$Y$119,14,0)),"",(VLOOKUP($B28,'Chemical Analysis'!$B$4:$Y$119,14,0))*$E28/100)</f>
        <v/>
      </c>
      <c r="O48" s="29" t="str">
        <f>IF(ISNA(VLOOKUP($B28,'Chemical Analysis'!$B$4:$Y$119,15,0)),"",(VLOOKUP($B28,'Chemical Analysis'!$B$4:$Y$119,15,0))*$E28/100)</f>
        <v/>
      </c>
      <c r="P48" s="29" t="str">
        <f>IF(ISNA(VLOOKUP($B28,'Chemical Analysis'!$B$4:$Y$119,16,0)),"",(VLOOKUP($B28,'Chemical Analysis'!$B$4:$Y$119,16,0))*$E28/100)</f>
        <v/>
      </c>
      <c r="Q48" s="29" t="str">
        <f>IF(ISNA(VLOOKUP($B28,'Chemical Analysis'!$B$4:$Y$119,17,0)),"",(VLOOKUP($B28,'Chemical Analysis'!$B$4:$Y$119,17,0))*$E28/100)</f>
        <v/>
      </c>
      <c r="R48" s="29" t="str">
        <f>IF(ISNA(VLOOKUP($B28,'Chemical Analysis'!$B$4:$Y$119,18,0)),"",(VLOOKUP($B28,'Chemical Analysis'!$B$4:$Y$119,18,0))*$E28/100)</f>
        <v/>
      </c>
      <c r="S48" s="29" t="str">
        <f>IF(ISNA(VLOOKUP($B28,'Chemical Analysis'!$B$4:$Y$119,19,0)),"",(VLOOKUP($B28,'Chemical Analysis'!$B$4:$Y$119,19,0))*$E28/100)</f>
        <v/>
      </c>
      <c r="T48" s="29" t="str">
        <f>IF(ISNA(VLOOKUP($B28,'Chemical Analysis'!$B$4:$Y$119,20,0)),"",(VLOOKUP($B28,'Chemical Analysis'!$B$4:$Y$119,20,0))*$E28/100)</f>
        <v/>
      </c>
      <c r="U48" s="29" t="str">
        <f>IF(ISNA(VLOOKUP($B28,'Chemical Analysis'!$B$4:$Y$119,21,0)),"",(VLOOKUP($B28,'Chemical Analysis'!$B$4:$Y$119,21,0))*$E28/100)</f>
        <v/>
      </c>
      <c r="V48" s="29" t="str">
        <f>IF(ISNA(VLOOKUP($B28,'Chemical Analysis'!$B$4:$Y$119,22,0)),"",(VLOOKUP($B28,'Chemical Analysis'!$B$4:$Y$119,22,0))*$E28/100)</f>
        <v/>
      </c>
      <c r="W48" s="29" t="str">
        <f>IF(ISNA(VLOOKUP($B28,'Chemical Analysis'!$B$4:$Y$119,23,0)),"",(VLOOKUP($B28,'Chemical Analysis'!$B$4:$Y$119,23,0))*$E28/100)</f>
        <v/>
      </c>
      <c r="X48" s="29" t="str">
        <f>IF(ISNA(VLOOKUP($B28,'Chemical Analysis'!$B$4:$Y$119,24,0)),"",(VLOOKUP($B28,'Chemical Analysis'!$B$4:$Y$119,24,0))*$E28/100)</f>
        <v/>
      </c>
      <c r="Y48" s="43"/>
      <c r="Z48" s="35"/>
      <c r="AE48"/>
      <c r="AF48"/>
      <c r="AG48"/>
      <c r="AH48"/>
    </row>
    <row r="49" spans="2:34" ht="12.9" thickBot="1" x14ac:dyDescent="0.35">
      <c r="B49" s="29" t="str">
        <f>IF(ISNA(VLOOKUP($B29,'Chemical Analysis'!$B$4:$Y$119,2,0)),"",(VLOOKUP($B29,'Chemical Analysis'!$B$4:$Y$119,2,0))*$E29/100)</f>
        <v/>
      </c>
      <c r="C49" s="29" t="str">
        <f>IF(ISNA(VLOOKUP($B29,'Chemical Analysis'!$B$4:$Y$119,3,0)),"",(VLOOKUP($B29,'Chemical Analysis'!$B$4:$Y$119,3,0))*$E29/100)</f>
        <v/>
      </c>
      <c r="D49" s="29" t="str">
        <f>IF(ISNA(VLOOKUP($B29,'Chemical Analysis'!$B$4:$Y$119,4,0)),"",(VLOOKUP($B29,'Chemical Analysis'!$B$4:$Y$119,4,0))*$E29/100)</f>
        <v/>
      </c>
      <c r="E49" s="29" t="str">
        <f>IF(ISNA(VLOOKUP($B29,'Chemical Analysis'!$B$4:$Y$119,5,0)),"",(VLOOKUP($B29,'Chemical Analysis'!$B$4:$Y$119,5,0))*$E29/100)</f>
        <v/>
      </c>
      <c r="F49" s="29" t="str">
        <f>IF(ISNA(VLOOKUP($B29,'Chemical Analysis'!$B$4:$Y$119,6,0)),"",(VLOOKUP($B29,'Chemical Analysis'!$B$4:$Y$119,6,0))*$E29/100)</f>
        <v/>
      </c>
      <c r="G49" s="29" t="str">
        <f>IF(ISNA(VLOOKUP($B29,'Chemical Analysis'!$B$4:$Y$119,7,0)),"",(VLOOKUP($B29,'Chemical Analysis'!$B$4:$Y$119,7,0))*$E29/100)</f>
        <v/>
      </c>
      <c r="H49" s="29" t="str">
        <f>IF(ISNA(VLOOKUP($B29,'Chemical Analysis'!$B$4:$Y$119,8,0)),"",(VLOOKUP($B29,'Chemical Analysis'!$B$4:$Y$119,8,0))*$E29/100)</f>
        <v/>
      </c>
      <c r="I49" s="29" t="str">
        <f>IF(ISNA(VLOOKUP($B29,'Chemical Analysis'!$B$4:$Y$119,9,0)),"",(VLOOKUP($B29,'Chemical Analysis'!$B$4:$Y$119,9,0))*$E29/100)</f>
        <v/>
      </c>
      <c r="J49" s="29" t="str">
        <f>IF(ISNA(VLOOKUP($B29,'Chemical Analysis'!$B$4:$Y$119,10,0)),"",(VLOOKUP($B29,'Chemical Analysis'!$B$4:$Y$119,10,0))*$E29/100)</f>
        <v/>
      </c>
      <c r="K49" s="29" t="str">
        <f>IF(ISNA(VLOOKUP($B29,'Chemical Analysis'!$B$4:$Y$119,11,0)),"",(VLOOKUP($B29,'Chemical Analysis'!$B$4:$Y$119,11,0))*$E29/100)</f>
        <v/>
      </c>
      <c r="L49" s="29" t="str">
        <f>IF(ISNA(VLOOKUP($B29,'Chemical Analysis'!$B$4:$Y$119,12,0)),"",(VLOOKUP($B29,'Chemical Analysis'!$B$4:$Y$119,12,0))*$E29/100)</f>
        <v/>
      </c>
      <c r="M49" s="29" t="str">
        <f>IF(ISNA(VLOOKUP($B29,'Chemical Analysis'!$B$4:$Y$119,13,0)),"",(VLOOKUP($B29,'Chemical Analysis'!$B$4:$Y$119,13,0))*$E29/100)</f>
        <v/>
      </c>
      <c r="N49" s="29" t="str">
        <f>IF(ISNA(VLOOKUP($B29,'Chemical Analysis'!$B$4:$Y$119,14,0)),"",(VLOOKUP($B29,'Chemical Analysis'!$B$4:$Y$119,14,0))*$E29/100)</f>
        <v/>
      </c>
      <c r="O49" s="29" t="str">
        <f>IF(ISNA(VLOOKUP($B29,'Chemical Analysis'!$B$4:$Y$119,15,0)),"",(VLOOKUP($B29,'Chemical Analysis'!$B$4:$Y$119,15,0))*$E29/100)</f>
        <v/>
      </c>
      <c r="P49" s="29" t="str">
        <f>IF(ISNA(VLOOKUP($B29,'Chemical Analysis'!$B$4:$Y$119,16,0)),"",(VLOOKUP($B29,'Chemical Analysis'!$B$4:$Y$119,16,0))*$E29/100)</f>
        <v/>
      </c>
      <c r="Q49" s="29" t="str">
        <f>IF(ISNA(VLOOKUP($B29,'Chemical Analysis'!$B$4:$Y$119,17,0)),"",(VLOOKUP($B29,'Chemical Analysis'!$B$4:$Y$119,17,0))*$E29/100)</f>
        <v/>
      </c>
      <c r="R49" s="29" t="str">
        <f>IF(ISNA(VLOOKUP($B29,'Chemical Analysis'!$B$4:$Y$119,18,0)),"",(VLOOKUP($B29,'Chemical Analysis'!$B$4:$Y$119,18,0))*$E29/100)</f>
        <v/>
      </c>
      <c r="S49" s="29" t="str">
        <f>IF(ISNA(VLOOKUP($B29,'Chemical Analysis'!$B$4:$Y$119,19,0)),"",(VLOOKUP($B29,'Chemical Analysis'!$B$4:$Y$119,19,0))*$E29/100)</f>
        <v/>
      </c>
      <c r="T49" s="29" t="str">
        <f>IF(ISNA(VLOOKUP($B29,'Chemical Analysis'!$B$4:$Y$119,20,0)),"",(VLOOKUP($B29,'Chemical Analysis'!$B$4:$Y$119,20,0))*$E29/100)</f>
        <v/>
      </c>
      <c r="U49" s="29" t="str">
        <f>IF(ISNA(VLOOKUP($B29,'Chemical Analysis'!$B$4:$Y$119,21,0)),"",(VLOOKUP($B29,'Chemical Analysis'!$B$4:$Y$119,21,0))*$E29/100)</f>
        <v/>
      </c>
      <c r="V49" s="29" t="str">
        <f>IF(ISNA(VLOOKUP($B29,'Chemical Analysis'!$B$4:$Y$119,22,0)),"",(VLOOKUP($B29,'Chemical Analysis'!$B$4:$Y$119,22,0))*$E29/100)</f>
        <v/>
      </c>
      <c r="W49" s="29" t="str">
        <f>IF(ISNA(VLOOKUP($B29,'Chemical Analysis'!$B$4:$Y$119,23,0)),"",(VLOOKUP($B29,'Chemical Analysis'!$B$4:$Y$119,23,0))*$E29/100)</f>
        <v/>
      </c>
      <c r="X49" s="29" t="str">
        <f>IF(ISNA(VLOOKUP($B29,'Chemical Analysis'!$B$4:$Y$119,24,0)),"",(VLOOKUP($B29,'Chemical Analysis'!$B$4:$Y$119,24,0))*$E29/100)</f>
        <v/>
      </c>
      <c r="Y49" s="43"/>
      <c r="Z49" s="35"/>
      <c r="AE49"/>
      <c r="AF49"/>
      <c r="AG49"/>
      <c r="AH49"/>
    </row>
    <row r="50" spans="2:34" ht="12.9" thickBot="1" x14ac:dyDescent="0.35">
      <c r="B50" s="29" t="str">
        <f>IF(ISNA(VLOOKUP($B30,'Chemical Analysis'!$B$4:$Y$119,2,0)),"",(VLOOKUP($B30,'Chemical Analysis'!$B$4:$Y$119,2,0))*$E30/100)</f>
        <v/>
      </c>
      <c r="C50" s="29" t="str">
        <f>IF(ISNA(VLOOKUP($B30,'Chemical Analysis'!$B$4:$Y$119,3,0)),"",(VLOOKUP($B30,'Chemical Analysis'!$B$4:$Y$119,3,0))*$E30/100)</f>
        <v/>
      </c>
      <c r="D50" s="29" t="str">
        <f>IF(ISNA(VLOOKUP($B30,'Chemical Analysis'!$B$4:$Y$119,4,0)),"",(VLOOKUP($B30,'Chemical Analysis'!$B$4:$Y$119,4,0))*$E30/100)</f>
        <v/>
      </c>
      <c r="E50" s="29" t="str">
        <f>IF(ISNA(VLOOKUP($B30,'Chemical Analysis'!$B$4:$Y$119,5,0)),"",(VLOOKUP($B30,'Chemical Analysis'!$B$4:$Y$119,5,0))*$E30/100)</f>
        <v/>
      </c>
      <c r="F50" s="29" t="str">
        <f>IF(ISNA(VLOOKUP($B30,'Chemical Analysis'!$B$4:$Y$119,6,0)),"",(VLOOKUP($B30,'Chemical Analysis'!$B$4:$Y$119,6,0))*$E30/100)</f>
        <v/>
      </c>
      <c r="G50" s="29" t="str">
        <f>IF(ISNA(VLOOKUP($B30,'Chemical Analysis'!$B$4:$Y$119,7,0)),"",(VLOOKUP($B30,'Chemical Analysis'!$B$4:$Y$119,7,0))*$E30/100)</f>
        <v/>
      </c>
      <c r="H50" s="29" t="str">
        <f>IF(ISNA(VLOOKUP($B30,'Chemical Analysis'!$B$4:$Y$119,8,0)),"",(VLOOKUP($B30,'Chemical Analysis'!$B$4:$Y$119,8,0))*$E30/100)</f>
        <v/>
      </c>
      <c r="I50" s="29" t="str">
        <f>IF(ISNA(VLOOKUP($B30,'Chemical Analysis'!$B$4:$Y$119,9,0)),"",(VLOOKUP($B30,'Chemical Analysis'!$B$4:$Y$119,9,0))*$E30/100)</f>
        <v/>
      </c>
      <c r="J50" s="29" t="str">
        <f>IF(ISNA(VLOOKUP($B30,'Chemical Analysis'!$B$4:$Y$119,10,0)),"",(VLOOKUP($B30,'Chemical Analysis'!$B$4:$Y$119,10,0))*$E30/100)</f>
        <v/>
      </c>
      <c r="K50" s="29" t="str">
        <f>IF(ISNA(VLOOKUP($B30,'Chemical Analysis'!$B$4:$Y$119,11,0)),"",(VLOOKUP($B30,'Chemical Analysis'!$B$4:$Y$119,11,0))*$E30/100)</f>
        <v/>
      </c>
      <c r="L50" s="29" t="str">
        <f>IF(ISNA(VLOOKUP($B30,'Chemical Analysis'!$B$4:$Y$119,12,0)),"",(VLOOKUP($B30,'Chemical Analysis'!$B$4:$Y$119,12,0))*$E30/100)</f>
        <v/>
      </c>
      <c r="M50" s="29" t="str">
        <f>IF(ISNA(VLOOKUP($B30,'Chemical Analysis'!$B$4:$Y$119,13,0)),"",(VLOOKUP($B30,'Chemical Analysis'!$B$4:$Y$119,13,0))*$E30/100)</f>
        <v/>
      </c>
      <c r="N50" s="29" t="str">
        <f>IF(ISNA(VLOOKUP($B30,'Chemical Analysis'!$B$4:$Y$119,14,0)),"",(VLOOKUP($B30,'Chemical Analysis'!$B$4:$Y$119,14,0))*$E30/100)</f>
        <v/>
      </c>
      <c r="O50" s="29" t="str">
        <f>IF(ISNA(VLOOKUP($B30,'Chemical Analysis'!$B$4:$Y$119,15,0)),"",(VLOOKUP($B30,'Chemical Analysis'!$B$4:$Y$119,15,0))*$E30/100)</f>
        <v/>
      </c>
      <c r="P50" s="29" t="str">
        <f>IF(ISNA(VLOOKUP($B30,'Chemical Analysis'!$B$4:$Y$119,16,0)),"",(VLOOKUP($B30,'Chemical Analysis'!$B$4:$Y$119,16,0))*$E30/100)</f>
        <v/>
      </c>
      <c r="Q50" s="29" t="str">
        <f>IF(ISNA(VLOOKUP($B30,'Chemical Analysis'!$B$4:$Y$119,17,0)),"",(VLOOKUP($B30,'Chemical Analysis'!$B$4:$Y$119,17,0))*$E30/100)</f>
        <v/>
      </c>
      <c r="R50" s="29" t="str">
        <f>IF(ISNA(VLOOKUP($B30,'Chemical Analysis'!$B$4:$Y$119,18,0)),"",(VLOOKUP($B30,'Chemical Analysis'!$B$4:$Y$119,18,0))*$E30/100)</f>
        <v/>
      </c>
      <c r="S50" s="29" t="str">
        <f>IF(ISNA(VLOOKUP($B30,'Chemical Analysis'!$B$4:$Y$119,19,0)),"",(VLOOKUP($B30,'Chemical Analysis'!$B$4:$Y$119,19,0))*$E30/100)</f>
        <v/>
      </c>
      <c r="T50" s="29" t="str">
        <f>IF(ISNA(VLOOKUP($B30,'Chemical Analysis'!$B$4:$Y$119,20,0)),"",(VLOOKUP($B30,'Chemical Analysis'!$B$4:$Y$119,20,0))*$E30/100)</f>
        <v/>
      </c>
      <c r="U50" s="29" t="str">
        <f>IF(ISNA(VLOOKUP($B30,'Chemical Analysis'!$B$4:$Y$119,21,0)),"",(VLOOKUP($B30,'Chemical Analysis'!$B$4:$Y$119,21,0))*$E30/100)</f>
        <v/>
      </c>
      <c r="V50" s="29" t="str">
        <f>IF(ISNA(VLOOKUP($B30,'Chemical Analysis'!$B$4:$Y$119,22,0)),"",(VLOOKUP($B30,'Chemical Analysis'!$B$4:$Y$119,22,0))*$E30/100)</f>
        <v/>
      </c>
      <c r="W50" s="29" t="str">
        <f>IF(ISNA(VLOOKUP($B30,'Chemical Analysis'!$B$4:$Y$119,23,0)),"",(VLOOKUP($B30,'Chemical Analysis'!$B$4:$Y$119,23,0))*$E30/100)</f>
        <v/>
      </c>
      <c r="X50" s="29" t="str">
        <f>IF(ISNA(VLOOKUP($B30,'Chemical Analysis'!$B$4:$Y$119,24,0)),"",(VLOOKUP($B30,'Chemical Analysis'!$B$4:$Y$119,24,0))*$E30/100)</f>
        <v/>
      </c>
      <c r="Y50" s="43"/>
      <c r="Z50" s="35"/>
      <c r="AE50"/>
      <c r="AF50"/>
      <c r="AG50"/>
      <c r="AH50"/>
    </row>
    <row r="51" spans="2:34" ht="12.9" thickBot="1" x14ac:dyDescent="0.35">
      <c r="B51" s="29" t="str">
        <f>IF(ISNA(VLOOKUP($B31,'Chemical Analysis'!$B$4:$Y$119,2,0)),"",(VLOOKUP($B31,'Chemical Analysis'!$B$4:$Y$119,2,0))*$E31/100)</f>
        <v/>
      </c>
      <c r="C51" s="29" t="str">
        <f>IF(ISNA(VLOOKUP($B31,'Chemical Analysis'!$B$4:$Y$119,3,0)),"",(VLOOKUP($B31,'Chemical Analysis'!$B$4:$Y$119,3,0))*$E31/100)</f>
        <v/>
      </c>
      <c r="D51" s="29" t="str">
        <f>IF(ISNA(VLOOKUP($B31,'Chemical Analysis'!$B$4:$Y$119,4,0)),"",(VLOOKUP($B31,'Chemical Analysis'!$B$4:$Y$119,4,0))*$E31/100)</f>
        <v/>
      </c>
      <c r="E51" s="29" t="str">
        <f>IF(ISNA(VLOOKUP($B31,'Chemical Analysis'!$B$4:$Y$119,5,0)),"",(VLOOKUP($B31,'Chemical Analysis'!$B$4:$Y$119,5,0))*$E31/100)</f>
        <v/>
      </c>
      <c r="F51" s="29" t="str">
        <f>IF(ISNA(VLOOKUP($B31,'Chemical Analysis'!$B$4:$Y$119,6,0)),"",(VLOOKUP($B31,'Chemical Analysis'!$B$4:$Y$119,6,0))*$E31/100)</f>
        <v/>
      </c>
      <c r="G51" s="29" t="str">
        <f>IF(ISNA(VLOOKUP($B31,'Chemical Analysis'!$B$4:$Y$119,7,0)),"",(VLOOKUP($B31,'Chemical Analysis'!$B$4:$Y$119,7,0))*$E31/100)</f>
        <v/>
      </c>
      <c r="H51" s="29" t="str">
        <f>IF(ISNA(VLOOKUP($B31,'Chemical Analysis'!$B$4:$Y$119,8,0)),"",(VLOOKUP($B31,'Chemical Analysis'!$B$4:$Y$119,8,0))*$E31/100)</f>
        <v/>
      </c>
      <c r="I51" s="29" t="str">
        <f>IF(ISNA(VLOOKUP($B31,'Chemical Analysis'!$B$4:$Y$119,9,0)),"",(VLOOKUP($B31,'Chemical Analysis'!$B$4:$Y$119,9,0))*$E31/100)</f>
        <v/>
      </c>
      <c r="J51" s="29" t="str">
        <f>IF(ISNA(VLOOKUP($B31,'Chemical Analysis'!$B$4:$Y$119,10,0)),"",(VLOOKUP($B31,'Chemical Analysis'!$B$4:$Y$119,10,0))*$E31/100)</f>
        <v/>
      </c>
      <c r="K51" s="29" t="str">
        <f>IF(ISNA(VLOOKUP($B31,'Chemical Analysis'!$B$4:$Y$119,11,0)),"",(VLOOKUP($B31,'Chemical Analysis'!$B$4:$Y$119,11,0))*$E31/100)</f>
        <v/>
      </c>
      <c r="L51" s="29" t="str">
        <f>IF(ISNA(VLOOKUP($B31,'Chemical Analysis'!$B$4:$Y$119,12,0)),"",(VLOOKUP($B31,'Chemical Analysis'!$B$4:$Y$119,12,0))*$E31/100)</f>
        <v/>
      </c>
      <c r="M51" s="29" t="str">
        <f>IF(ISNA(VLOOKUP($B31,'Chemical Analysis'!$B$4:$Y$119,13,0)),"",(VLOOKUP($B31,'Chemical Analysis'!$B$4:$Y$119,13,0))*$E31/100)</f>
        <v/>
      </c>
      <c r="N51" s="29" t="str">
        <f>IF(ISNA(VLOOKUP($B31,'Chemical Analysis'!$B$4:$Y$119,14,0)),"",(VLOOKUP($B31,'Chemical Analysis'!$B$4:$Y$119,14,0))*$E31/100)</f>
        <v/>
      </c>
      <c r="O51" s="29" t="str">
        <f>IF(ISNA(VLOOKUP($B31,'Chemical Analysis'!$B$4:$Y$119,15,0)),"",(VLOOKUP($B31,'Chemical Analysis'!$B$4:$Y$119,15,0))*$E31/100)</f>
        <v/>
      </c>
      <c r="P51" s="29" t="str">
        <f>IF(ISNA(VLOOKUP($B31,'Chemical Analysis'!$B$4:$Y$119,16,0)),"",(VLOOKUP($B31,'Chemical Analysis'!$B$4:$Y$119,16,0))*$E31/100)</f>
        <v/>
      </c>
      <c r="Q51" s="29" t="str">
        <f>IF(ISNA(VLOOKUP($B31,'Chemical Analysis'!$B$4:$Y$119,17,0)),"",(VLOOKUP($B31,'Chemical Analysis'!$B$4:$Y$119,17,0))*$E31/100)</f>
        <v/>
      </c>
      <c r="R51" s="29" t="str">
        <f>IF(ISNA(VLOOKUP($B31,'Chemical Analysis'!$B$4:$Y$119,18,0)),"",(VLOOKUP($B31,'Chemical Analysis'!$B$4:$Y$119,18,0))*$E31/100)</f>
        <v/>
      </c>
      <c r="S51" s="29" t="str">
        <f>IF(ISNA(VLOOKUP($B31,'Chemical Analysis'!$B$4:$Y$119,19,0)),"",(VLOOKUP($B31,'Chemical Analysis'!$B$4:$Y$119,19,0))*$E31/100)</f>
        <v/>
      </c>
      <c r="T51" s="29" t="str">
        <f>IF(ISNA(VLOOKUP($B31,'Chemical Analysis'!$B$4:$Y$119,20,0)),"",(VLOOKUP($B31,'Chemical Analysis'!$B$4:$Y$119,20,0))*$E31/100)</f>
        <v/>
      </c>
      <c r="U51" s="29" t="str">
        <f>IF(ISNA(VLOOKUP($B31,'Chemical Analysis'!$B$4:$Y$119,21,0)),"",(VLOOKUP($B31,'Chemical Analysis'!$B$4:$Y$119,21,0))*$E31/100)</f>
        <v/>
      </c>
      <c r="V51" s="29" t="str">
        <f>IF(ISNA(VLOOKUP($B31,'Chemical Analysis'!$B$4:$Y$119,22,0)),"",(VLOOKUP($B31,'Chemical Analysis'!$B$4:$Y$119,22,0))*$E31/100)</f>
        <v/>
      </c>
      <c r="W51" s="29" t="str">
        <f>IF(ISNA(VLOOKUP($B31,'Chemical Analysis'!$B$4:$Y$119,23,0)),"",(VLOOKUP($B31,'Chemical Analysis'!$B$4:$Y$119,23,0))*$E31/100)</f>
        <v/>
      </c>
      <c r="X51" s="29" t="str">
        <f>IF(ISNA(VLOOKUP($B31,'Chemical Analysis'!$B$4:$Y$119,24,0)),"",(VLOOKUP($B31,'Chemical Analysis'!$B$4:$Y$119,24,0))*$E31/100)</f>
        <v/>
      </c>
      <c r="Y51" s="43"/>
      <c r="Z51" s="35"/>
      <c r="AE51"/>
      <c r="AF51"/>
      <c r="AG51"/>
      <c r="AH51"/>
    </row>
    <row r="52" spans="2:34" ht="12.9" thickBot="1" x14ac:dyDescent="0.35">
      <c r="B52" s="29" t="str">
        <f>IF(ISNA(VLOOKUP($B32,'Chemical Analysis'!$B$4:$Y$119,2,0)),"",(VLOOKUP($B32,'Chemical Analysis'!$B$4:$Y$119,2,0))*$E32/100)</f>
        <v/>
      </c>
      <c r="C52" s="29" t="str">
        <f>IF(ISNA(VLOOKUP($B32,'Chemical Analysis'!$B$4:$Y$119,3,0)),"",(VLOOKUP($B32,'Chemical Analysis'!$B$4:$Y$119,3,0))*$E32/100)</f>
        <v/>
      </c>
      <c r="D52" s="29" t="str">
        <f>IF(ISNA(VLOOKUP($B32,'Chemical Analysis'!$B$4:$Y$119,4,0)),"",(VLOOKUP($B32,'Chemical Analysis'!$B$4:$Y$119,4,0))*$E32/100)</f>
        <v/>
      </c>
      <c r="E52" s="29" t="str">
        <f>IF(ISNA(VLOOKUP($B32,'Chemical Analysis'!$B$4:$Y$119,5,0)),"",(VLOOKUP($B32,'Chemical Analysis'!$B$4:$Y$119,5,0))*$E32/100)</f>
        <v/>
      </c>
      <c r="F52" s="29" t="str">
        <f>IF(ISNA(VLOOKUP($B32,'Chemical Analysis'!$B$4:$Y$119,6,0)),"",(VLOOKUP($B32,'Chemical Analysis'!$B$4:$Y$119,6,0))*$E32/100)</f>
        <v/>
      </c>
      <c r="G52" s="29" t="str">
        <f>IF(ISNA(VLOOKUP($B32,'Chemical Analysis'!$B$4:$Y$119,7,0)),"",(VLOOKUP($B32,'Chemical Analysis'!$B$4:$Y$119,7,0))*$E32/100)</f>
        <v/>
      </c>
      <c r="H52" s="29" t="str">
        <f>IF(ISNA(VLOOKUP($B32,'Chemical Analysis'!$B$4:$Y$119,8,0)),"",(VLOOKUP($B32,'Chemical Analysis'!$B$4:$Y$119,8,0))*$E32/100)</f>
        <v/>
      </c>
      <c r="I52" s="29" t="str">
        <f>IF(ISNA(VLOOKUP($B32,'Chemical Analysis'!$B$4:$Y$119,9,0)),"",(VLOOKUP($B32,'Chemical Analysis'!$B$4:$Y$119,9,0))*$E32/100)</f>
        <v/>
      </c>
      <c r="J52" s="29" t="str">
        <f>IF(ISNA(VLOOKUP($B32,'Chemical Analysis'!$B$4:$Y$119,10,0)),"",(VLOOKUP($B32,'Chemical Analysis'!$B$4:$Y$119,10,0))*$E32/100)</f>
        <v/>
      </c>
      <c r="K52" s="29" t="str">
        <f>IF(ISNA(VLOOKUP($B32,'Chemical Analysis'!$B$4:$Y$119,11,0)),"",(VLOOKUP($B32,'Chemical Analysis'!$B$4:$Y$119,11,0))*$E32/100)</f>
        <v/>
      </c>
      <c r="L52" s="29" t="str">
        <f>IF(ISNA(VLOOKUP($B32,'Chemical Analysis'!$B$4:$Y$119,12,0)),"",(VLOOKUP($B32,'Chemical Analysis'!$B$4:$Y$119,12,0))*$E32/100)</f>
        <v/>
      </c>
      <c r="M52" s="29" t="str">
        <f>IF(ISNA(VLOOKUP($B32,'Chemical Analysis'!$B$4:$Y$119,13,0)),"",(VLOOKUP($B32,'Chemical Analysis'!$B$4:$Y$119,13,0))*$E32/100)</f>
        <v/>
      </c>
      <c r="N52" s="29" t="str">
        <f>IF(ISNA(VLOOKUP($B32,'Chemical Analysis'!$B$4:$Y$119,14,0)),"",(VLOOKUP($B32,'Chemical Analysis'!$B$4:$Y$119,14,0))*$E32/100)</f>
        <v/>
      </c>
      <c r="O52" s="29" t="str">
        <f>IF(ISNA(VLOOKUP($B32,'Chemical Analysis'!$B$4:$Y$119,15,0)),"",(VLOOKUP($B32,'Chemical Analysis'!$B$4:$Y$119,15,0))*$E32/100)</f>
        <v/>
      </c>
      <c r="P52" s="29" t="str">
        <f>IF(ISNA(VLOOKUP($B32,'Chemical Analysis'!$B$4:$Y$119,16,0)),"",(VLOOKUP($B32,'Chemical Analysis'!$B$4:$Y$119,16,0))*$E32/100)</f>
        <v/>
      </c>
      <c r="Q52" s="29" t="str">
        <f>IF(ISNA(VLOOKUP($B32,'Chemical Analysis'!$B$4:$Y$119,17,0)),"",(VLOOKUP($B32,'Chemical Analysis'!$B$4:$Y$119,17,0))*$E32/100)</f>
        <v/>
      </c>
      <c r="R52" s="29" t="str">
        <f>IF(ISNA(VLOOKUP($B32,'Chemical Analysis'!$B$4:$Y$119,18,0)),"",(VLOOKUP($B32,'Chemical Analysis'!$B$4:$Y$119,18,0))*$E32/100)</f>
        <v/>
      </c>
      <c r="S52" s="29" t="str">
        <f>IF(ISNA(VLOOKUP($B32,'Chemical Analysis'!$B$4:$Y$119,19,0)),"",(VLOOKUP($B32,'Chemical Analysis'!$B$4:$Y$119,19,0))*$E32/100)</f>
        <v/>
      </c>
      <c r="T52" s="29" t="str">
        <f>IF(ISNA(VLOOKUP($B32,'Chemical Analysis'!$B$4:$Y$119,20,0)),"",(VLOOKUP($B32,'Chemical Analysis'!$B$4:$Y$119,20,0))*$E32/100)</f>
        <v/>
      </c>
      <c r="U52" s="29" t="str">
        <f>IF(ISNA(VLOOKUP($B32,'Chemical Analysis'!$B$4:$Y$119,21,0)),"",(VLOOKUP($B32,'Chemical Analysis'!$B$4:$Y$119,21,0))*$E32/100)</f>
        <v/>
      </c>
      <c r="V52" s="29" t="str">
        <f>IF(ISNA(VLOOKUP($B32,'Chemical Analysis'!$B$4:$Y$119,22,0)),"",(VLOOKUP($B32,'Chemical Analysis'!$B$4:$Y$119,22,0))*$E32/100)</f>
        <v/>
      </c>
      <c r="W52" s="29" t="str">
        <f>IF(ISNA(VLOOKUP($B32,'Chemical Analysis'!$B$4:$Y$119,23,0)),"",(VLOOKUP($B32,'Chemical Analysis'!$B$4:$Y$119,23,0))*$E32/100)</f>
        <v/>
      </c>
      <c r="X52" s="29" t="str">
        <f>IF(ISNA(VLOOKUP($B32,'Chemical Analysis'!$B$4:$Y$119,24,0)),"",(VLOOKUP($B32,'Chemical Analysis'!$B$4:$Y$119,24,0))*$E32/100)</f>
        <v/>
      </c>
      <c r="Y52" s="43"/>
      <c r="Z52" s="35"/>
      <c r="AE52"/>
      <c r="AF52"/>
      <c r="AG52"/>
      <c r="AH52"/>
    </row>
    <row r="53" spans="2:34" ht="12.9" thickBot="1" x14ac:dyDescent="0.35">
      <c r="B53" s="29" t="str">
        <f>IF(ISNA(VLOOKUP($B33,'Chemical Analysis'!$B$4:$Y$119,2,0)),"",(VLOOKUP($B33,'Chemical Analysis'!$B$4:$Y$119,2,0))*$E33/100)</f>
        <v/>
      </c>
      <c r="C53" s="29" t="str">
        <f>IF(ISNA(VLOOKUP($B33,'Chemical Analysis'!$B$4:$Y$119,3,0)),"",(VLOOKUP($B33,'Chemical Analysis'!$B$4:$Y$119,3,0))*$E33/100)</f>
        <v/>
      </c>
      <c r="D53" s="29" t="str">
        <f>IF(ISNA(VLOOKUP($B33,'Chemical Analysis'!$B$4:$Y$119,4,0)),"",(VLOOKUP($B33,'Chemical Analysis'!$B$4:$Y$119,4,0))*$E33/100)</f>
        <v/>
      </c>
      <c r="E53" s="29" t="str">
        <f>IF(ISNA(VLOOKUP($B33,'Chemical Analysis'!$B$4:$Y$119,5,0)),"",(VLOOKUP($B33,'Chemical Analysis'!$B$4:$Y$119,5,0))*$E33/100)</f>
        <v/>
      </c>
      <c r="F53" s="29" t="str">
        <f>IF(ISNA(VLOOKUP($B33,'Chemical Analysis'!$B$4:$Y$119,6,0)),"",(VLOOKUP($B33,'Chemical Analysis'!$B$4:$Y$119,6,0))*$E33/100)</f>
        <v/>
      </c>
      <c r="G53" s="29" t="str">
        <f>IF(ISNA(VLOOKUP($B33,'Chemical Analysis'!$B$4:$Y$119,7,0)),"",(VLOOKUP($B33,'Chemical Analysis'!$B$4:$Y$119,7,0))*$E33/100)</f>
        <v/>
      </c>
      <c r="H53" s="29" t="str">
        <f>IF(ISNA(VLOOKUP($B33,'Chemical Analysis'!$B$4:$Y$119,8,0)),"",(VLOOKUP($B33,'Chemical Analysis'!$B$4:$Y$119,8,0))*$E33/100)</f>
        <v/>
      </c>
      <c r="I53" s="29" t="str">
        <f>IF(ISNA(VLOOKUP($B33,'Chemical Analysis'!$B$4:$Y$119,9,0)),"",(VLOOKUP($B33,'Chemical Analysis'!$B$4:$Y$119,9,0))*$E33/100)</f>
        <v/>
      </c>
      <c r="J53" s="29" t="str">
        <f>IF(ISNA(VLOOKUP($B33,'Chemical Analysis'!$B$4:$Y$119,10,0)),"",(VLOOKUP($B33,'Chemical Analysis'!$B$4:$Y$119,10,0))*$E33/100)</f>
        <v/>
      </c>
      <c r="K53" s="29" t="str">
        <f>IF(ISNA(VLOOKUP($B33,'Chemical Analysis'!$B$4:$Y$119,11,0)),"",(VLOOKUP($B33,'Chemical Analysis'!$B$4:$Y$119,11,0))*$E33/100)</f>
        <v/>
      </c>
      <c r="L53" s="29" t="str">
        <f>IF(ISNA(VLOOKUP($B33,'Chemical Analysis'!$B$4:$Y$119,12,0)),"",(VLOOKUP($B33,'Chemical Analysis'!$B$4:$Y$119,12,0))*$E33/100)</f>
        <v/>
      </c>
      <c r="M53" s="29" t="str">
        <f>IF(ISNA(VLOOKUP($B33,'Chemical Analysis'!$B$4:$Y$119,13,0)),"",(VLOOKUP($B33,'Chemical Analysis'!$B$4:$Y$119,13,0))*$E33/100)</f>
        <v/>
      </c>
      <c r="N53" s="29" t="str">
        <f>IF(ISNA(VLOOKUP($B33,'Chemical Analysis'!$B$4:$Y$119,14,0)),"",(VLOOKUP($B33,'Chemical Analysis'!$B$4:$Y$119,14,0))*$E33/100)</f>
        <v/>
      </c>
      <c r="O53" s="29" t="str">
        <f>IF(ISNA(VLOOKUP($B33,'Chemical Analysis'!$B$4:$Y$119,15,0)),"",(VLOOKUP($B33,'Chemical Analysis'!$B$4:$Y$119,15,0))*$E33/100)</f>
        <v/>
      </c>
      <c r="P53" s="29" t="str">
        <f>IF(ISNA(VLOOKUP($B33,'Chemical Analysis'!$B$4:$Y$119,16,0)),"",(VLOOKUP($B33,'Chemical Analysis'!$B$4:$Y$119,16,0))*$E33/100)</f>
        <v/>
      </c>
      <c r="Q53" s="29" t="str">
        <f>IF(ISNA(VLOOKUP($B33,'Chemical Analysis'!$B$4:$Y$119,17,0)),"",(VLOOKUP($B33,'Chemical Analysis'!$B$4:$Y$119,17,0))*$E33/100)</f>
        <v/>
      </c>
      <c r="R53" s="29" t="str">
        <f>IF(ISNA(VLOOKUP($B33,'Chemical Analysis'!$B$4:$Y$119,18,0)),"",(VLOOKUP($B33,'Chemical Analysis'!$B$4:$Y$119,18,0))*$E33/100)</f>
        <v/>
      </c>
      <c r="S53" s="29" t="str">
        <f>IF(ISNA(VLOOKUP($B33,'Chemical Analysis'!$B$4:$Y$119,19,0)),"",(VLOOKUP($B33,'Chemical Analysis'!$B$4:$Y$119,19,0))*$E33/100)</f>
        <v/>
      </c>
      <c r="T53" s="29" t="str">
        <f>IF(ISNA(VLOOKUP($B33,'Chemical Analysis'!$B$4:$Y$119,20,0)),"",(VLOOKUP($B33,'Chemical Analysis'!$B$4:$Y$119,20,0))*$E33/100)</f>
        <v/>
      </c>
      <c r="U53" s="29" t="str">
        <f>IF(ISNA(VLOOKUP($B33,'Chemical Analysis'!$B$4:$Y$119,21,0)),"",(VLOOKUP($B33,'Chemical Analysis'!$B$4:$Y$119,21,0))*$E33/100)</f>
        <v/>
      </c>
      <c r="V53" s="29" t="str">
        <f>IF(ISNA(VLOOKUP($B33,'Chemical Analysis'!$B$4:$Y$119,22,0)),"",(VLOOKUP($B33,'Chemical Analysis'!$B$4:$Y$119,22,0))*$E33/100)</f>
        <v/>
      </c>
      <c r="W53" s="29" t="str">
        <f>IF(ISNA(VLOOKUP($B33,'Chemical Analysis'!$B$4:$Y$119,23,0)),"",(VLOOKUP($B33,'Chemical Analysis'!$B$4:$Y$119,23,0))*$E33/100)</f>
        <v/>
      </c>
      <c r="X53" s="29" t="str">
        <f>IF(ISNA(VLOOKUP($B33,'Chemical Analysis'!$B$4:$Y$119,24,0)),"",(VLOOKUP($B33,'Chemical Analysis'!$B$4:$Y$119,24,0))*$E33/100)</f>
        <v/>
      </c>
      <c r="Y53" s="44"/>
      <c r="Z53" s="35"/>
      <c r="AE53"/>
      <c r="AF53"/>
      <c r="AG53"/>
      <c r="AH53"/>
    </row>
    <row r="54" spans="2:34" ht="12.9" thickBot="1" x14ac:dyDescent="0.35">
      <c r="B54" s="55">
        <f>SUM(B38:B53)</f>
        <v>54.390825688073384</v>
      </c>
      <c r="C54" s="55">
        <f t="shared" ref="C54:W54" si="8">SUM(C38:C53)</f>
        <v>0</v>
      </c>
      <c r="D54" s="55">
        <f t="shared" si="8"/>
        <v>11.478899082568805</v>
      </c>
      <c r="E54" s="55">
        <f t="shared" si="8"/>
        <v>8.3082568807339445</v>
      </c>
      <c r="F54" s="55">
        <f t="shared" si="8"/>
        <v>0</v>
      </c>
      <c r="G54" s="55">
        <f t="shared" si="8"/>
        <v>0</v>
      </c>
      <c r="H54" s="55">
        <f t="shared" si="8"/>
        <v>3.7761467889908249</v>
      </c>
      <c r="I54" s="55">
        <f t="shared" si="8"/>
        <v>1.6513761467889907</v>
      </c>
      <c r="J54" s="55">
        <f t="shared" si="8"/>
        <v>0</v>
      </c>
      <c r="K54" s="55">
        <f t="shared" si="8"/>
        <v>0</v>
      </c>
      <c r="L54" s="55">
        <f t="shared" si="8"/>
        <v>2.8440366972477059E-2</v>
      </c>
      <c r="M54" s="55">
        <f t="shared" si="8"/>
        <v>10.420183486238532</v>
      </c>
      <c r="N54" s="55">
        <f t="shared" si="8"/>
        <v>0</v>
      </c>
      <c r="O54" s="55">
        <f t="shared" si="8"/>
        <v>0</v>
      </c>
      <c r="P54" s="55">
        <f t="shared" si="8"/>
        <v>0</v>
      </c>
      <c r="Q54" s="55">
        <f t="shared" si="8"/>
        <v>7.7981651376146766E-2</v>
      </c>
      <c r="R54" s="55">
        <f t="shared" si="8"/>
        <v>0</v>
      </c>
      <c r="S54" s="55">
        <f t="shared" si="8"/>
        <v>0</v>
      </c>
      <c r="T54" s="55">
        <f t="shared" si="8"/>
        <v>0</v>
      </c>
      <c r="U54" s="55">
        <f t="shared" si="8"/>
        <v>0</v>
      </c>
      <c r="V54" s="55">
        <f t="shared" si="8"/>
        <v>0</v>
      </c>
      <c r="W54" s="55">
        <f t="shared" si="8"/>
        <v>0</v>
      </c>
      <c r="X54" s="55">
        <f>SUM(X38:X53)</f>
        <v>0</v>
      </c>
      <c r="Z54" s="35"/>
      <c r="AE54"/>
      <c r="AF54"/>
      <c r="AG54"/>
      <c r="AH54"/>
    </row>
    <row r="55" spans="2:34" ht="17.149999999999999" thickBot="1" x14ac:dyDescent="0.55000000000000004">
      <c r="B55" s="206" t="s">
        <v>0</v>
      </c>
      <c r="C55" s="207" t="s">
        <v>1</v>
      </c>
      <c r="D55" s="207" t="s">
        <v>2</v>
      </c>
      <c r="E55" s="207" t="s">
        <v>11</v>
      </c>
      <c r="F55" s="212" t="s">
        <v>141</v>
      </c>
      <c r="G55" s="207" t="s">
        <v>3</v>
      </c>
      <c r="H55" s="207" t="s">
        <v>4</v>
      </c>
      <c r="I55" s="207" t="s">
        <v>5</v>
      </c>
      <c r="J55" s="208" t="s">
        <v>140</v>
      </c>
      <c r="K55" s="208" t="s">
        <v>144</v>
      </c>
      <c r="L55" s="207" t="s">
        <v>6</v>
      </c>
      <c r="M55" s="207" t="s">
        <v>7</v>
      </c>
      <c r="N55" s="207" t="s">
        <v>8</v>
      </c>
      <c r="O55" s="207" t="s">
        <v>29</v>
      </c>
      <c r="P55" s="207" t="s">
        <v>10</v>
      </c>
      <c r="Q55" s="213" t="s">
        <v>188</v>
      </c>
      <c r="R55" s="207" t="s">
        <v>133</v>
      </c>
      <c r="S55" s="207" t="s">
        <v>143</v>
      </c>
      <c r="T55" s="207" t="s">
        <v>130</v>
      </c>
      <c r="U55" s="209" t="s">
        <v>161</v>
      </c>
      <c r="V55" s="209" t="s">
        <v>160</v>
      </c>
      <c r="W55" s="210" t="s">
        <v>164</v>
      </c>
      <c r="X55" s="211" t="s">
        <v>77</v>
      </c>
      <c r="Z55" s="35"/>
      <c r="AE55"/>
      <c r="AF55"/>
      <c r="AG55"/>
      <c r="AH55"/>
    </row>
    <row r="56" spans="2:34" ht="20.6" thickBot="1" x14ac:dyDescent="0.55000000000000004">
      <c r="B56" s="195">
        <v>60.09</v>
      </c>
      <c r="C56" s="196">
        <v>69.62</v>
      </c>
      <c r="D56" s="197">
        <v>101.96</v>
      </c>
      <c r="E56" s="197">
        <v>80.900000000000006</v>
      </c>
      <c r="F56" s="197">
        <v>74.692799999999991</v>
      </c>
      <c r="G56" s="197">
        <v>29.88</v>
      </c>
      <c r="H56" s="197">
        <v>61.98</v>
      </c>
      <c r="I56" s="197">
        <v>94.2</v>
      </c>
      <c r="J56" s="197">
        <v>79.545000000000002</v>
      </c>
      <c r="K56" s="197">
        <v>465.96</v>
      </c>
      <c r="L56" s="197">
        <v>40.31</v>
      </c>
      <c r="M56" s="197">
        <v>56.08</v>
      </c>
      <c r="N56" s="197">
        <v>103.62</v>
      </c>
      <c r="O56" s="197">
        <v>153.69999999999999</v>
      </c>
      <c r="P56" s="197">
        <v>81.39</v>
      </c>
      <c r="Q56" s="214">
        <v>159.69999999999999</v>
      </c>
      <c r="R56" s="197">
        <v>86.94</v>
      </c>
      <c r="S56" s="197">
        <v>74.930000000000007</v>
      </c>
      <c r="T56" s="198">
        <v>223.2</v>
      </c>
      <c r="U56" s="197">
        <v>150.69999999999999</v>
      </c>
      <c r="V56" s="197">
        <v>141.94</v>
      </c>
      <c r="W56" s="197">
        <v>152</v>
      </c>
      <c r="X56" s="199">
        <v>214.44</v>
      </c>
      <c r="Y56" s="58">
        <f>SUM(C18:C29)</f>
        <v>100.00000000000003</v>
      </c>
      <c r="Z56" s="35"/>
      <c r="AE56"/>
      <c r="AF56"/>
      <c r="AG56"/>
      <c r="AH56"/>
    </row>
    <row r="57" spans="2:34" ht="12.9" thickBot="1" x14ac:dyDescent="0.35">
      <c r="B57" s="192">
        <f t="shared" ref="B57:X57" si="9">B$54/B$56</f>
        <v>0.90515602742674961</v>
      </c>
      <c r="C57" s="193">
        <f t="shared" si="9"/>
        <v>0</v>
      </c>
      <c r="D57" s="193">
        <f t="shared" si="9"/>
        <v>0.11258237625116523</v>
      </c>
      <c r="E57" s="193">
        <f t="shared" si="9"/>
        <v>0.10269786008323788</v>
      </c>
      <c r="F57" s="193">
        <f t="shared" si="9"/>
        <v>0</v>
      </c>
      <c r="G57" s="193">
        <f t="shared" si="9"/>
        <v>0</v>
      </c>
      <c r="H57" s="193">
        <f t="shared" si="9"/>
        <v>6.0925246676199175E-2</v>
      </c>
      <c r="I57" s="193">
        <f t="shared" si="9"/>
        <v>1.7530532343832173E-2</v>
      </c>
      <c r="J57" s="193">
        <f t="shared" si="9"/>
        <v>0</v>
      </c>
      <c r="K57" s="193">
        <f t="shared" si="9"/>
        <v>0</v>
      </c>
      <c r="L57" s="193">
        <f t="shared" si="9"/>
        <v>7.0554122978112269E-4</v>
      </c>
      <c r="M57" s="193">
        <f t="shared" si="9"/>
        <v>0.18580926330667855</v>
      </c>
      <c r="N57" s="193">
        <f t="shared" si="9"/>
        <v>0</v>
      </c>
      <c r="O57" s="193">
        <f t="shared" si="9"/>
        <v>0</v>
      </c>
      <c r="P57" s="193">
        <f t="shared" si="9"/>
        <v>0</v>
      </c>
      <c r="Q57" s="193">
        <f t="shared" si="9"/>
        <v>4.8830088526078124E-4</v>
      </c>
      <c r="R57" s="193">
        <f t="shared" si="9"/>
        <v>0</v>
      </c>
      <c r="S57" s="193">
        <f t="shared" si="9"/>
        <v>0</v>
      </c>
      <c r="T57" s="193">
        <f t="shared" si="9"/>
        <v>0</v>
      </c>
      <c r="U57" s="193">
        <f t="shared" si="9"/>
        <v>0</v>
      </c>
      <c r="V57" s="193">
        <f t="shared" si="9"/>
        <v>0</v>
      </c>
      <c r="W57" s="193">
        <f t="shared" si="9"/>
        <v>0</v>
      </c>
      <c r="X57" s="194">
        <f t="shared" si="9"/>
        <v>0</v>
      </c>
      <c r="Y57" s="104">
        <f>SUM(B57:X57)</f>
        <v>1.3858951482029045</v>
      </c>
      <c r="Z57" s="35"/>
      <c r="AE57"/>
      <c r="AF57"/>
      <c r="AG57"/>
      <c r="AH57"/>
    </row>
    <row r="58" spans="2:34" ht="12.9" thickBot="1" x14ac:dyDescent="0.35">
      <c r="B58" s="187">
        <f t="shared" ref="B58:X58" si="10">B57/$Y$57*100</f>
        <v>65.312013582013691</v>
      </c>
      <c r="C58" s="30">
        <f t="shared" si="10"/>
        <v>0</v>
      </c>
      <c r="D58" s="30">
        <f t="shared" si="10"/>
        <v>8.1234411129262725</v>
      </c>
      <c r="E58" s="30">
        <f t="shared" si="10"/>
        <v>7.4102186024972081</v>
      </c>
      <c r="F58" s="30">
        <f t="shared" si="10"/>
        <v>0</v>
      </c>
      <c r="G58" s="30">
        <f t="shared" si="10"/>
        <v>0</v>
      </c>
      <c r="H58" s="30">
        <f t="shared" si="10"/>
        <v>4.3960935107681971</v>
      </c>
      <c r="I58" s="30">
        <f t="shared" si="10"/>
        <v>1.2649248658214931</v>
      </c>
      <c r="J58" s="30">
        <f t="shared" si="10"/>
        <v>0</v>
      </c>
      <c r="K58" s="30">
        <f t="shared" si="10"/>
        <v>0</v>
      </c>
      <c r="L58" s="30">
        <f t="shared" si="10"/>
        <v>5.0908701909809027E-2</v>
      </c>
      <c r="M58" s="30">
        <f t="shared" si="10"/>
        <v>13.407166014515465</v>
      </c>
      <c r="N58" s="30">
        <f t="shared" si="10"/>
        <v>0</v>
      </c>
      <c r="O58" s="30">
        <f t="shared" si="10"/>
        <v>0</v>
      </c>
      <c r="P58" s="30">
        <f t="shared" si="10"/>
        <v>0</v>
      </c>
      <c r="Q58" s="30">
        <f t="shared" si="10"/>
        <v>3.5233609547876896E-2</v>
      </c>
      <c r="R58" s="30">
        <f t="shared" si="10"/>
        <v>0</v>
      </c>
      <c r="S58" s="30">
        <f t="shared" si="10"/>
        <v>0</v>
      </c>
      <c r="T58" s="30">
        <f t="shared" si="10"/>
        <v>0</v>
      </c>
      <c r="U58" s="30">
        <f t="shared" si="10"/>
        <v>0</v>
      </c>
      <c r="V58" s="30">
        <f t="shared" si="10"/>
        <v>0</v>
      </c>
      <c r="W58" s="30">
        <f t="shared" si="10"/>
        <v>0</v>
      </c>
      <c r="X58" s="188">
        <f t="shared" si="10"/>
        <v>0</v>
      </c>
      <c r="Y58" s="104">
        <f>SUM(G58:U58)</f>
        <v>19.154326702562841</v>
      </c>
      <c r="Z58" s="35"/>
      <c r="AE58"/>
      <c r="AF58"/>
      <c r="AG58"/>
      <c r="AH58"/>
    </row>
    <row r="59" spans="2:34" ht="12.9" thickBot="1" x14ac:dyDescent="0.35">
      <c r="B59" s="189">
        <f t="shared" ref="B59:X59" si="11">B58/$Y$58</f>
        <v>3.4097786153597855</v>
      </c>
      <c r="C59" s="190">
        <f t="shared" si="11"/>
        <v>0</v>
      </c>
      <c r="D59" s="190">
        <f t="shared" si="11"/>
        <v>0.42410475915289464</v>
      </c>
      <c r="E59" s="190">
        <f t="shared" si="11"/>
        <v>0.38686917674353566</v>
      </c>
      <c r="F59" s="190">
        <f t="shared" si="11"/>
        <v>0</v>
      </c>
      <c r="G59" s="190">
        <f t="shared" si="11"/>
        <v>0</v>
      </c>
      <c r="H59" s="190">
        <f t="shared" si="11"/>
        <v>0.22950916411903957</v>
      </c>
      <c r="I59" s="190">
        <f t="shared" si="11"/>
        <v>6.6038597203849858E-2</v>
      </c>
      <c r="J59" s="190">
        <f t="shared" si="11"/>
        <v>0</v>
      </c>
      <c r="K59" s="190">
        <f t="shared" si="11"/>
        <v>0</v>
      </c>
      <c r="L59" s="190">
        <f t="shared" si="11"/>
        <v>2.6578173537677762E-3</v>
      </c>
      <c r="M59" s="190">
        <f t="shared" si="11"/>
        <v>0.69995496175397232</v>
      </c>
      <c r="N59" s="190">
        <f t="shared" si="11"/>
        <v>0</v>
      </c>
      <c r="O59" s="190">
        <f t="shared" si="11"/>
        <v>0</v>
      </c>
      <c r="P59" s="190">
        <f t="shared" si="11"/>
        <v>0</v>
      </c>
      <c r="Q59" s="190">
        <f t="shared" si="11"/>
        <v>1.8394595693704365E-3</v>
      </c>
      <c r="R59" s="190">
        <f t="shared" si="11"/>
        <v>0</v>
      </c>
      <c r="S59" s="190">
        <f t="shared" si="11"/>
        <v>0</v>
      </c>
      <c r="T59" s="190">
        <f t="shared" si="11"/>
        <v>0</v>
      </c>
      <c r="U59" s="190">
        <f t="shared" si="11"/>
        <v>0</v>
      </c>
      <c r="V59" s="190">
        <f t="shared" si="11"/>
        <v>0</v>
      </c>
      <c r="W59" s="190">
        <f t="shared" si="11"/>
        <v>0</v>
      </c>
      <c r="X59" s="191">
        <f t="shared" si="11"/>
        <v>0</v>
      </c>
      <c r="Y59" s="186">
        <f>IF(ISNA(VLOOKUP($G3,'Chemical Analysis'!$AA$4:$AB$27,2,0)),"",(VLOOKUP($G3,'Chemical Analysis'!$AA$4:$AB$27,2,0)))</f>
        <v>1305</v>
      </c>
      <c r="Z59" s="35"/>
      <c r="AE59"/>
      <c r="AF59"/>
      <c r="AG59"/>
      <c r="AH59"/>
    </row>
    <row r="60" spans="2:34" ht="15" x14ac:dyDescent="0.4">
      <c r="B60" s="59"/>
      <c r="C60" s="60"/>
      <c r="D60" s="18"/>
      <c r="E60" s="18"/>
      <c r="F60" s="18"/>
      <c r="G60" s="18"/>
      <c r="H60" s="18"/>
      <c r="I60" s="38"/>
      <c r="J60" s="38"/>
      <c r="K60" s="38"/>
      <c r="L60" s="38"/>
      <c r="M60" s="59"/>
      <c r="N60" s="2"/>
      <c r="O60" s="2"/>
      <c r="P60" s="60"/>
      <c r="Q60" s="61"/>
      <c r="R60" s="61"/>
      <c r="S60" s="61"/>
      <c r="T60" s="61"/>
      <c r="U60" s="61"/>
      <c r="V60" s="61"/>
      <c r="W60" s="61"/>
      <c r="X60" s="61"/>
      <c r="Y60" s="61"/>
      <c r="Z60" s="35"/>
      <c r="AE60"/>
      <c r="AF60"/>
      <c r="AG60"/>
      <c r="AH60"/>
    </row>
    <row r="61" spans="2:34" ht="15" x14ac:dyDescent="0.4">
      <c r="B61" s="60"/>
      <c r="C61" s="60"/>
      <c r="D61" s="60"/>
      <c r="E61" s="60"/>
      <c r="F61" s="60"/>
      <c r="G61" s="60"/>
      <c r="H61" s="18"/>
      <c r="I61" s="38"/>
      <c r="J61" s="38"/>
      <c r="K61" s="38"/>
      <c r="L61" s="38"/>
      <c r="M61" s="60"/>
      <c r="N61" s="38"/>
      <c r="O61" s="61"/>
      <c r="P61" s="60"/>
      <c r="Q61" s="61"/>
      <c r="R61" s="61"/>
      <c r="S61" s="61"/>
      <c r="T61" s="61"/>
      <c r="U61" s="61"/>
      <c r="V61" s="61"/>
      <c r="W61" s="61"/>
      <c r="X61" s="61"/>
      <c r="Y61" s="61"/>
      <c r="Z61" s="35"/>
      <c r="AE61"/>
      <c r="AF61"/>
      <c r="AG61"/>
      <c r="AH61"/>
    </row>
    <row r="62" spans="2:34" ht="12.45" x14ac:dyDescent="0.3">
      <c r="B62"/>
      <c r="C62"/>
      <c r="D62"/>
      <c r="E62"/>
      <c r="F62"/>
      <c r="G62"/>
      <c r="H62"/>
      <c r="M62" s="64"/>
      <c r="N62" s="64"/>
      <c r="O62" s="64"/>
      <c r="Z62" s="35"/>
      <c r="AE62"/>
      <c r="AF62"/>
      <c r="AG62"/>
      <c r="AH62"/>
    </row>
    <row r="63" spans="2:34" ht="12.45" x14ac:dyDescent="0.3">
      <c r="B63"/>
      <c r="C63"/>
      <c r="D63"/>
      <c r="E63"/>
      <c r="F63"/>
      <c r="G63"/>
      <c r="H63"/>
      <c r="Z63" s="35"/>
      <c r="AE63"/>
      <c r="AF63"/>
      <c r="AG63"/>
      <c r="AH63"/>
    </row>
    <row r="64" spans="2:34" x14ac:dyDescent="0.5">
      <c r="AE64"/>
      <c r="AF64"/>
    </row>
    <row r="65" spans="31:31" x14ac:dyDescent="0.5">
      <c r="AE65"/>
    </row>
  </sheetData>
  <mergeCells count="20">
    <mergeCell ref="B16:B17"/>
    <mergeCell ref="C2:E2"/>
    <mergeCell ref="F2:G2"/>
    <mergeCell ref="B3:E3"/>
    <mergeCell ref="B4:C4"/>
    <mergeCell ref="D4:E4"/>
    <mergeCell ref="F4:G4"/>
    <mergeCell ref="D5:E5"/>
    <mergeCell ref="F5:G5"/>
    <mergeCell ref="C15:C17"/>
    <mergeCell ref="E15:E17"/>
    <mergeCell ref="G15:G16"/>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DE3F87A-DAEE-4C79-93BD-66CBF38FCB64}">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0B85909A-5B1F-4BCB-A09E-1C40A08998B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216ACED0-5BCD-4027-9B81-DFBB208AE799}">
      <formula1>#REF!</formula1>
    </dataValidation>
    <dataValidation type="list" showInputMessage="1" showErrorMessage="1" sqref="B18:B33" xr:uid="{ABDC1591-D22E-4F60-8EC2-411C3866F6B2}">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3D78985-28C4-4E99-8079-A6FE66D05F08}">
          <x14:formula1>
            <xm:f>'Chemical Analysis'!$AA$4:$AA$27</xm:f>
          </x14:formula1>
          <xm:sqref>G3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1</vt:lpstr>
      <vt:lpstr>2</vt:lpstr>
      <vt:lpstr>3</vt:lpstr>
      <vt:lpstr>4</vt:lpstr>
      <vt:lpstr>5</vt:lpstr>
      <vt:lpstr>6</vt:lpstr>
      <vt:lpstr>7</vt:lpstr>
      <vt:lpstr>8</vt:lpstr>
      <vt:lpstr>9</vt:lpstr>
      <vt:lpstr>10</vt:lpstr>
      <vt:lpstr>Collective Formula</vt:lpstr>
      <vt:lpstr>Collective Maps</vt:lpstr>
      <vt:lpstr>Date</vt:lpstr>
      <vt:lpstr>Chemical Analysis</vt:lpstr>
      <vt:lpstr>Chem</vt:lpstr>
      <vt:lpstr>'Collective Formula'!Print_Area</vt:lpstr>
    </vt:vector>
  </TitlesOfParts>
  <Company>NYS College of Ceramics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Katz</dc:creator>
  <cp:lastModifiedBy>Majikthise</cp:lastModifiedBy>
  <cp:lastPrinted>2019-04-05T13:51:20Z</cp:lastPrinted>
  <dcterms:created xsi:type="dcterms:W3CDTF">2007-03-22T17:33:53Z</dcterms:created>
  <dcterms:modified xsi:type="dcterms:W3CDTF">2019-07-25T20:13:20Z</dcterms:modified>
</cp:coreProperties>
</file>